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hidePivotFieldList="1"/>
  <mc:AlternateContent xmlns:mc="http://schemas.openxmlformats.org/markup-compatibility/2006">
    <mc:Choice Requires="x15">
      <x15ac:absPath xmlns:x15ac="http://schemas.microsoft.com/office/spreadsheetml/2010/11/ac" url="\\192.168.90.30\Allmende_Energie\06_Projects\2024\2024-14_INT_SPC_Decarbonisaton\40_Production_(internal)\10_Publication\30_typesetting\30_4_final\"/>
    </mc:Choice>
  </mc:AlternateContent>
  <xr:revisionPtr revIDLastSave="0" documentId="13_ncr:1_{D11030C9-6E73-4D09-B434-ADD2601B4DA9}" xr6:coauthVersionLast="47" xr6:coauthVersionMax="47" xr10:uidLastSave="{00000000-0000-0000-0000-000000000000}"/>
  <bookViews>
    <workbookView xWindow="-110" yWindow="-110" windowWidth="38620" windowHeight="21220" xr2:uid="{00000000-000D-0000-FFFF-FFFF00000000}"/>
  </bookViews>
  <sheets>
    <sheet name="Imprint" sheetId="28" r:id="rId1"/>
    <sheet name="Table_of_contents" sheetId="30" r:id="rId2"/>
    <sheet name="References" sheetId="33" r:id="rId3"/>
    <sheet name="Terminology_data_country" sheetId="14" r:id="rId4"/>
    <sheet name="Data_country" sheetId="13" r:id="rId5"/>
    <sheet name="Terminology_data_SPC" sheetId="16" r:id="rId6"/>
    <sheet name="Data_SPC" sheetId="19" r:id="rId7"/>
  </sheets>
  <definedNames>
    <definedName name="_xlnm._FilterDatabase" localSheetId="6" hidden="1">Data_SPC!$A$2:$CG$36</definedName>
    <definedName name="can_use_pipeline">INDEX(#REF!,sel_chain_index)</definedName>
    <definedName name="chains_chain">#REF!</definedName>
    <definedName name="compCostCountries_DELETE">#REF!</definedName>
    <definedName name="context_data_carbonsource">#REF!</definedName>
    <definedName name="context_data_infobox">#REF!</definedName>
    <definedName name="context_data_re">#REF!</definedName>
    <definedName name="context_data_transport_mode">#REF!</definedName>
    <definedName name="context_data_watersource">#REF!</definedName>
    <definedName name="conv_fact_to_mass">#REF!</definedName>
    <definedName name="country_area">#REF!</definedName>
    <definedName name="country_country_code">#REF!</definedName>
    <definedName name="country_country_name">#REF!</definedName>
    <definedName name="country_energy_use">#REF!</definedName>
    <definedName name="country_pop">#REF!</definedName>
    <definedName name="country_pop_and_energy_use">#REF!</definedName>
    <definedName name="default_scenarios">#REF!</definedName>
    <definedName name="dim_bool_bool">#REF!</definedName>
    <definedName name="flh_deriv">#REF!</definedName>
    <definedName name="flh_ely">#REF!</definedName>
    <definedName name="flh_region_code">#REF!</definedName>
    <definedName name="flow_flow_code">#REF!</definedName>
    <definedName name="flow_flow_name">#REF!</definedName>
    <definedName name="flow_short_names">#REF!</definedName>
    <definedName name="input_scenarios">#REF!</definedName>
    <definedName name="mapMaxValue">#REF!</definedName>
    <definedName name="mapMinValue">#REF!</definedName>
    <definedName name="name">#REF!</definedName>
    <definedName name="output_scenario_name">#REF!</definedName>
    <definedName name="output_scenario_names">#REF!</definedName>
    <definedName name="output_units">#REF!</definedName>
    <definedName name="process_classes_process_class">#REF!</definedName>
    <definedName name="process_classes_process_class_name">#REF!</definedName>
    <definedName name="process_main_flow_code_out">#REF!</definedName>
    <definedName name="process_process_class">#REF!</definedName>
    <definedName name="process_process_code">#REF!</definedName>
    <definedName name="process_process_name">#REF!</definedName>
    <definedName name="process_res_gen_name">#REF!</definedName>
    <definedName name="process_res_gen_process_code">#REF!</definedName>
    <definedName name="process_res_gen_process_name">#REF!</definedName>
    <definedName name="Reference_country">References!$A$7:$C$12</definedName>
    <definedName name="region_region_code">#REF!</definedName>
    <definedName name="region_region_name">#REF!</definedName>
    <definedName name="regions_by_cost">#REF!</definedName>
    <definedName name="release_date">#REF!</definedName>
    <definedName name="release_version">#REF!</definedName>
    <definedName name="saved_outputs">#REF!</definedName>
    <definedName name="secondary_process_CO2_G">#REF!</definedName>
    <definedName name="secondary_process_H2O_L">#REF!</definedName>
    <definedName name="sel_chain">#REF!</definedName>
    <definedName name="sel_chain_deriv_proc_code">#REF!</definedName>
    <definedName name="sel_chain_ely_proc_code">#REF!</definedName>
    <definedName name="sel_chain_flow_out">#REF!</definedName>
    <definedName name="sel_chain_index">MATCH(sel_chain,#REF!,)</definedName>
    <definedName name="sel_chain_range">OFFSET(#REF!,sel_chain_index,1,1,COUNTA(#REF!)-1)</definedName>
    <definedName name="sel_chain_range_word">OFFSET(#REF!,sel_chain_index_world,1,1,COUNTA(#REF!)-1)</definedName>
    <definedName name="sel_choices_transport">OFFSET(#REF!,0,sel_pipeline_possible*2+sel_ship_possible,sel_pipeline_possible+sel_ship_possible)</definedName>
    <definedName name="sel_country_code">IF(sel_country_name="","",INDEX(country_country_code,MATCH(sel_country_name,country_country_name,0),1))</definedName>
    <definedName name="sel_country_name">#REF!</definedName>
    <definedName name="sel_pipeline_possible">AND(INDEX(#REF!,MATCH(_xlfn.SINGLE(sel_region_code),#REF!,0))&gt;0,_xlfn.SINGLE(can_use_pipeline)=TRUE)</definedName>
    <definedName name="sel_region_code">IF(sel_region_name="","",INDEX(#REF!,MATCH(sel_region_name,#REF!,0),1))</definedName>
    <definedName name="sel_region_country_code">IF(sel_region_code="","",LEFT(sel_region_code,3))</definedName>
    <definedName name="sel_region_name">#REF!</definedName>
    <definedName name="sel_res_gen">IF(sel_res_gen_name="","",INDEX(#REF!,MATCH(sel_res_gen_name,#REF!,0),1))</definedName>
    <definedName name="sel_res_gen_name">#REF!</definedName>
    <definedName name="sel_scenario">#REF!</definedName>
    <definedName name="sel_secproc_co2">#REF!</definedName>
    <definedName name="sel_secproc_water">#REF!</definedName>
    <definedName name="sel_ship_own_fuel">#REF!</definedName>
    <definedName name="sel_ship_possible">TRUE</definedName>
    <definedName name="sel_transport">#REF!</definedName>
    <definedName name="selOutputUnit">#REF!</definedName>
    <definedName name="selOutputUnit2">#REF!</definedName>
    <definedName name="tabDatasets_name">#REF!</definedName>
    <definedName name="target_countri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 i="19" l="1"/>
  <c r="CG5" i="19"/>
  <c r="CF5" i="19"/>
  <c r="BN5" i="19"/>
  <c r="BQ5" i="19" s="1"/>
  <c r="CE5" i="19" s="1"/>
  <c r="CD5" i="19"/>
  <c r="CC5" i="19"/>
  <c r="CB5" i="19"/>
  <c r="CA5" i="19"/>
  <c r="BZ5" i="19"/>
  <c r="BI5" i="19"/>
  <c r="BV5" i="19" s="1"/>
  <c r="BT5" i="19"/>
  <c r="BG5" i="19"/>
  <c r="AC3" i="13"/>
  <c r="AT12" i="19" s="1"/>
  <c r="AT3" i="19"/>
  <c r="BF5" i="19"/>
  <c r="BE5" i="19"/>
  <c r="BD5" i="19"/>
  <c r="BC5" i="19"/>
  <c r="AN5" i="19"/>
  <c r="BA5" i="19" s="1"/>
  <c r="BB5" i="19"/>
  <c r="AZ5" i="19"/>
  <c r="AV5" i="19"/>
  <c r="AU5" i="19"/>
  <c r="AC5" i="13"/>
  <c r="AT14" i="19" s="1"/>
  <c r="BN4" i="19"/>
  <c r="BI4" i="19" s="1"/>
  <c r="BN6" i="19"/>
  <c r="CB6" i="19" s="1"/>
  <c r="BN3" i="19"/>
  <c r="BP3" i="19"/>
  <c r="CD3" i="19" s="1"/>
  <c r="BQ3" i="19"/>
  <c r="CE3" i="19" s="1"/>
  <c r="AN4" i="19"/>
  <c r="W3" i="19"/>
  <c r="W4" i="19"/>
  <c r="W5" i="19"/>
  <c r="S3" i="19"/>
  <c r="M3" i="19"/>
  <c r="W6" i="19"/>
  <c r="W8" i="19"/>
  <c r="W7" i="19"/>
  <c r="S6" i="19"/>
  <c r="M6" i="19"/>
  <c r="N6" i="19" s="1"/>
  <c r="W11" i="19"/>
  <c r="AD11" i="19" s="1"/>
  <c r="W10" i="19"/>
  <c r="W9" i="19"/>
  <c r="S9" i="19"/>
  <c r="M9" i="19"/>
  <c r="M14" i="19"/>
  <c r="W12" i="19"/>
  <c r="W13" i="19"/>
  <c r="W14" i="19"/>
  <c r="S12" i="19"/>
  <c r="M12" i="19"/>
  <c r="S15" i="19"/>
  <c r="M15" i="19"/>
  <c r="N15" i="19" s="1"/>
  <c r="M16" i="19"/>
  <c r="L15" i="19"/>
  <c r="W15" i="19"/>
  <c r="W16" i="19"/>
  <c r="W17" i="19"/>
  <c r="S24" i="19"/>
  <c r="S27" i="19"/>
  <c r="S33" i="19"/>
  <c r="S36" i="19"/>
  <c r="S39" i="19"/>
  <c r="O41" i="19"/>
  <c r="AC41" i="19" s="1"/>
  <c r="S18" i="19"/>
  <c r="T18" i="19" s="1"/>
  <c r="M18" i="19"/>
  <c r="W18" i="19"/>
  <c r="W19" i="19"/>
  <c r="W20" i="19"/>
  <c r="O18" i="19"/>
  <c r="O19" i="19"/>
  <c r="O20" i="19"/>
  <c r="AB4" i="19"/>
  <c r="AB5" i="19"/>
  <c r="AB6" i="19"/>
  <c r="AB7" i="19"/>
  <c r="AB8" i="19"/>
  <c r="AB9" i="19"/>
  <c r="AB10" i="19"/>
  <c r="AB11" i="19"/>
  <c r="AB12" i="19"/>
  <c r="AB13" i="19"/>
  <c r="AB14" i="19"/>
  <c r="AB15" i="19"/>
  <c r="AB16" i="19"/>
  <c r="AB17" i="19"/>
  <c r="AB18" i="19"/>
  <c r="AB19" i="19"/>
  <c r="AB20" i="19"/>
  <c r="AB21" i="19"/>
  <c r="AB22" i="19"/>
  <c r="AB23" i="19"/>
  <c r="AB24" i="19"/>
  <c r="AB25" i="19"/>
  <c r="AB26" i="19"/>
  <c r="AB27" i="19"/>
  <c r="AB28" i="19"/>
  <c r="AB29" i="19"/>
  <c r="AB30" i="19"/>
  <c r="AA31" i="19"/>
  <c r="AB31" i="19"/>
  <c r="AB33" i="19"/>
  <c r="AB34" i="19"/>
  <c r="AB35" i="19"/>
  <c r="AB36" i="19"/>
  <c r="AB37" i="19"/>
  <c r="AB38" i="19"/>
  <c r="AB3" i="19"/>
  <c r="O27" i="19"/>
  <c r="O28" i="19"/>
  <c r="O29" i="19"/>
  <c r="O39" i="19"/>
  <c r="AC39" i="19" s="1"/>
  <c r="O40" i="19"/>
  <c r="AC40" i="19" s="1"/>
  <c r="I18" i="19"/>
  <c r="I20" i="19"/>
  <c r="I19" i="19"/>
  <c r="AC17" i="19"/>
  <c r="S21" i="19"/>
  <c r="M21" i="19"/>
  <c r="M24" i="19"/>
  <c r="M27" i="19"/>
  <c r="M30" i="19"/>
  <c r="M33" i="19"/>
  <c r="M36" i="19"/>
  <c r="AF36" i="19" s="1"/>
  <c r="M39" i="19"/>
  <c r="N39" i="19" s="1"/>
  <c r="M22" i="19"/>
  <c r="M4" i="19"/>
  <c r="AF4" i="19" s="1"/>
  <c r="M5" i="19"/>
  <c r="AF5" i="19" s="1"/>
  <c r="M7" i="19"/>
  <c r="AF7" i="19"/>
  <c r="M8" i="19"/>
  <c r="AF8" i="19" s="1"/>
  <c r="AF9" i="19"/>
  <c r="M10" i="19"/>
  <c r="AF10" i="19" s="1"/>
  <c r="M11" i="19"/>
  <c r="AF11" i="19" s="1"/>
  <c r="AF12" i="19"/>
  <c r="M13" i="19"/>
  <c r="AF13" i="19"/>
  <c r="AF14" i="19"/>
  <c r="AF16" i="19"/>
  <c r="M17" i="19"/>
  <c r="AF17" i="19"/>
  <c r="AF18" i="19"/>
  <c r="M19" i="19"/>
  <c r="AF19" i="19"/>
  <c r="M20" i="19"/>
  <c r="AF20" i="19" s="1"/>
  <c r="AF21" i="19"/>
  <c r="AF22" i="19"/>
  <c r="M23" i="19"/>
  <c r="AF23" i="19"/>
  <c r="AF24" i="19"/>
  <c r="M25" i="19"/>
  <c r="AF25" i="19"/>
  <c r="M26" i="19"/>
  <c r="AF26" i="19" s="1"/>
  <c r="AF27" i="19"/>
  <c r="M28" i="19"/>
  <c r="AF28" i="19"/>
  <c r="M29" i="19"/>
  <c r="AF29" i="19"/>
  <c r="AF30" i="19"/>
  <c r="M31" i="19"/>
  <c r="AF31" i="19" s="1"/>
  <c r="AF33" i="19"/>
  <c r="M34" i="19"/>
  <c r="N34" i="19" s="1"/>
  <c r="AF34" i="19"/>
  <c r="M35" i="19"/>
  <c r="AF35" i="19"/>
  <c r="M37" i="19"/>
  <c r="AF37" i="19" s="1"/>
  <c r="M38" i="19"/>
  <c r="AF38" i="19" s="1"/>
  <c r="M40" i="19"/>
  <c r="AF40" i="19" s="1"/>
  <c r="M41" i="19"/>
  <c r="N41" i="19" s="1"/>
  <c r="AF41" i="19"/>
  <c r="AF3" i="19"/>
  <c r="N3" i="19"/>
  <c r="N4" i="19"/>
  <c r="N5" i="19"/>
  <c r="N7" i="19"/>
  <c r="N8" i="19"/>
  <c r="N9" i="19"/>
  <c r="N11" i="19"/>
  <c r="N12" i="19"/>
  <c r="N13" i="19"/>
  <c r="N14" i="19"/>
  <c r="N16" i="19"/>
  <c r="N17" i="19"/>
  <c r="N18" i="19"/>
  <c r="N19" i="19"/>
  <c r="N20" i="19"/>
  <c r="N21" i="19"/>
  <c r="N22" i="19"/>
  <c r="N23" i="19"/>
  <c r="N24" i="19"/>
  <c r="N25" i="19"/>
  <c r="N27" i="19"/>
  <c r="N28" i="19"/>
  <c r="N29" i="19"/>
  <c r="N30" i="19"/>
  <c r="N31" i="19"/>
  <c r="N33" i="19"/>
  <c r="N35" i="19"/>
  <c r="N37" i="19"/>
  <c r="N38" i="19"/>
  <c r="N40" i="19"/>
  <c r="S4" i="19"/>
  <c r="AE4" i="19" s="1"/>
  <c r="S5" i="19"/>
  <c r="AE5" i="19" s="1"/>
  <c r="AE6" i="19"/>
  <c r="S7" i="19"/>
  <c r="AE7" i="19"/>
  <c r="S8" i="19"/>
  <c r="T8" i="19" s="1"/>
  <c r="AE8" i="19"/>
  <c r="AE9" i="19"/>
  <c r="S10" i="19"/>
  <c r="AE10" i="19" s="1"/>
  <c r="S11" i="19"/>
  <c r="AE11" i="19" s="1"/>
  <c r="AE12" i="19"/>
  <c r="S13" i="19"/>
  <c r="AE13" i="19"/>
  <c r="S14" i="19"/>
  <c r="AE14" i="19" s="1"/>
  <c r="AE15" i="19"/>
  <c r="S16" i="19"/>
  <c r="AE16" i="19" s="1"/>
  <c r="S17" i="19"/>
  <c r="AE17" i="19" s="1"/>
  <c r="S19" i="19"/>
  <c r="AE19" i="19"/>
  <c r="S20" i="19"/>
  <c r="AE20" i="19"/>
  <c r="AE21" i="19"/>
  <c r="S22" i="19"/>
  <c r="AE22" i="19"/>
  <c r="S23" i="19"/>
  <c r="AE23" i="19" s="1"/>
  <c r="AE24" i="19"/>
  <c r="S25" i="19"/>
  <c r="AE25" i="19" s="1"/>
  <c r="S26" i="19"/>
  <c r="AE26" i="19"/>
  <c r="AE27" i="19"/>
  <c r="S28" i="19"/>
  <c r="AE28" i="19" s="1"/>
  <c r="S29" i="19"/>
  <c r="AE29" i="19"/>
  <c r="S30" i="19"/>
  <c r="AE30" i="19" s="1"/>
  <c r="S31" i="19"/>
  <c r="AE31" i="19" s="1"/>
  <c r="AE33" i="19"/>
  <c r="S34" i="19"/>
  <c r="AE34" i="19"/>
  <c r="S35" i="19"/>
  <c r="AE35" i="19"/>
  <c r="AE36" i="19"/>
  <c r="S37" i="19"/>
  <c r="AE37" i="19"/>
  <c r="S38" i="19"/>
  <c r="AE38" i="19" s="1"/>
  <c r="AE39" i="19"/>
  <c r="S40" i="19"/>
  <c r="AE40" i="19"/>
  <c r="S41" i="19"/>
  <c r="AE41" i="19"/>
  <c r="AE3" i="19"/>
  <c r="W33" i="19"/>
  <c r="W34" i="19"/>
  <c r="W35" i="19"/>
  <c r="T3" i="19"/>
  <c r="T4" i="19"/>
  <c r="T5" i="19"/>
  <c r="T6" i="19"/>
  <c r="T7" i="19"/>
  <c r="T9" i="19"/>
  <c r="T10" i="19"/>
  <c r="T11" i="19"/>
  <c r="T12" i="19"/>
  <c r="T13" i="19"/>
  <c r="T14" i="19"/>
  <c r="T15" i="19"/>
  <c r="T16" i="19"/>
  <c r="T17" i="19"/>
  <c r="T19" i="19"/>
  <c r="T20" i="19"/>
  <c r="T21" i="19"/>
  <c r="T22" i="19"/>
  <c r="T24" i="19"/>
  <c r="T25" i="19"/>
  <c r="T26" i="19"/>
  <c r="T27" i="19"/>
  <c r="T28" i="19"/>
  <c r="T29" i="19"/>
  <c r="T31" i="19"/>
  <c r="T33" i="19"/>
  <c r="T34" i="19"/>
  <c r="T35" i="19"/>
  <c r="T36" i="19"/>
  <c r="T37" i="19"/>
  <c r="T39" i="19"/>
  <c r="T40" i="19"/>
  <c r="T41" i="19"/>
  <c r="U36" i="19"/>
  <c r="U37" i="19"/>
  <c r="U38" i="19"/>
  <c r="R30" i="19"/>
  <c r="R31" i="19"/>
  <c r="I33" i="19"/>
  <c r="I34" i="19"/>
  <c r="AD4" i="19"/>
  <c r="AD5" i="19"/>
  <c r="AD6" i="19"/>
  <c r="AD7" i="19"/>
  <c r="AD8" i="19"/>
  <c r="AD9" i="19"/>
  <c r="AD10" i="19"/>
  <c r="AD12" i="19"/>
  <c r="AD13" i="19"/>
  <c r="AD14" i="19"/>
  <c r="AD15" i="19"/>
  <c r="AD16" i="19"/>
  <c r="AD17" i="19"/>
  <c r="AD18" i="19"/>
  <c r="AD19" i="19"/>
  <c r="AD20" i="19"/>
  <c r="AD21" i="19"/>
  <c r="AD22" i="19"/>
  <c r="AD23" i="19"/>
  <c r="AD24" i="19"/>
  <c r="AD25" i="19"/>
  <c r="AD26" i="19"/>
  <c r="AD27" i="19"/>
  <c r="AD28" i="19"/>
  <c r="AD29" i="19"/>
  <c r="AD30" i="19"/>
  <c r="AD31" i="19"/>
  <c r="AD33" i="19"/>
  <c r="AD34" i="19"/>
  <c r="AD35" i="19"/>
  <c r="AD36" i="19"/>
  <c r="AD37" i="19"/>
  <c r="AD38" i="19"/>
  <c r="AD39" i="19"/>
  <c r="AD40" i="19"/>
  <c r="AD41" i="19"/>
  <c r="AC4" i="19"/>
  <c r="AC5" i="19"/>
  <c r="AC6" i="19"/>
  <c r="AC7" i="19"/>
  <c r="AC8" i="19"/>
  <c r="AC9" i="19"/>
  <c r="AC10" i="19"/>
  <c r="AC11" i="19"/>
  <c r="AC12" i="19"/>
  <c r="AC13" i="19"/>
  <c r="AC14" i="19"/>
  <c r="AC15" i="19"/>
  <c r="AC16" i="19"/>
  <c r="AC18" i="19"/>
  <c r="AC19" i="19"/>
  <c r="AC20" i="19"/>
  <c r="AC21" i="19"/>
  <c r="AC22" i="19"/>
  <c r="AC23" i="19"/>
  <c r="AC24" i="19"/>
  <c r="AC25" i="19"/>
  <c r="AC26" i="19"/>
  <c r="AC27" i="19"/>
  <c r="AC28" i="19"/>
  <c r="AC29" i="19"/>
  <c r="AC30" i="19"/>
  <c r="AC31" i="19"/>
  <c r="AC33" i="19"/>
  <c r="AC34" i="19"/>
  <c r="AC35" i="19"/>
  <c r="AC36" i="19"/>
  <c r="AC37" i="19"/>
  <c r="AC38" i="19"/>
  <c r="Z4" i="19"/>
  <c r="Z5" i="19"/>
  <c r="Z6" i="19"/>
  <c r="Z7" i="19"/>
  <c r="Z8" i="19"/>
  <c r="Z9" i="19"/>
  <c r="Z10" i="19"/>
  <c r="Z11" i="19"/>
  <c r="Z12" i="19"/>
  <c r="Z13" i="19"/>
  <c r="Z14" i="19"/>
  <c r="Z15" i="19"/>
  <c r="Z16" i="19"/>
  <c r="Z17" i="19"/>
  <c r="Z18" i="19"/>
  <c r="Z19" i="19"/>
  <c r="Z20" i="19"/>
  <c r="Z21" i="19"/>
  <c r="Z22" i="19"/>
  <c r="Z23" i="19"/>
  <c r="Z24" i="19"/>
  <c r="Z25" i="19"/>
  <c r="Z26" i="19"/>
  <c r="Z27" i="19"/>
  <c r="Z28" i="19"/>
  <c r="Z29" i="19"/>
  <c r="Z30" i="19"/>
  <c r="Z31" i="19"/>
  <c r="Z33" i="19"/>
  <c r="Z34" i="19"/>
  <c r="Z35" i="19"/>
  <c r="Z36" i="19"/>
  <c r="Z37" i="19"/>
  <c r="Z38" i="19"/>
  <c r="Z39" i="19"/>
  <c r="Z40" i="19"/>
  <c r="Z41" i="19"/>
  <c r="X4" i="19"/>
  <c r="X5" i="19"/>
  <c r="X6" i="19"/>
  <c r="X7" i="19"/>
  <c r="X8" i="19"/>
  <c r="X9" i="19"/>
  <c r="X10" i="19"/>
  <c r="X12" i="19"/>
  <c r="X13" i="19"/>
  <c r="X14" i="19"/>
  <c r="X15" i="19"/>
  <c r="X16" i="19"/>
  <c r="X17" i="19"/>
  <c r="X18" i="19"/>
  <c r="X19" i="19"/>
  <c r="X20" i="19"/>
  <c r="X21" i="19"/>
  <c r="X22" i="19"/>
  <c r="X23" i="19"/>
  <c r="X24" i="19"/>
  <c r="X25" i="19"/>
  <c r="X26" i="19"/>
  <c r="X27" i="19"/>
  <c r="X28" i="19"/>
  <c r="X29" i="19"/>
  <c r="X30" i="19"/>
  <c r="X31" i="19"/>
  <c r="X33" i="19"/>
  <c r="X34" i="19"/>
  <c r="X35" i="19"/>
  <c r="X36" i="19"/>
  <c r="X37" i="19"/>
  <c r="X38" i="19"/>
  <c r="X39" i="19"/>
  <c r="X40" i="19"/>
  <c r="X41" i="19"/>
  <c r="V4" i="19"/>
  <c r="V5" i="19"/>
  <c r="V6" i="19"/>
  <c r="V7" i="19"/>
  <c r="V8" i="19"/>
  <c r="V9" i="19"/>
  <c r="V10" i="19"/>
  <c r="V11" i="19"/>
  <c r="V12" i="19"/>
  <c r="V13" i="19"/>
  <c r="V14" i="19"/>
  <c r="V15" i="19"/>
  <c r="V16" i="19"/>
  <c r="V17" i="19"/>
  <c r="V18" i="19"/>
  <c r="V19" i="19"/>
  <c r="V20" i="19"/>
  <c r="V21" i="19"/>
  <c r="V22" i="19"/>
  <c r="V23" i="19"/>
  <c r="V24" i="19"/>
  <c r="V25" i="19"/>
  <c r="V26" i="19"/>
  <c r="V27" i="19"/>
  <c r="V28" i="19"/>
  <c r="V29" i="19"/>
  <c r="V30" i="19"/>
  <c r="V31" i="19"/>
  <c r="V33" i="19"/>
  <c r="V34" i="19"/>
  <c r="V35" i="19"/>
  <c r="V36" i="19"/>
  <c r="V37" i="19"/>
  <c r="V38" i="19"/>
  <c r="V39" i="19"/>
  <c r="V40" i="19"/>
  <c r="V41" i="19"/>
  <c r="R4" i="19"/>
  <c r="R5" i="19"/>
  <c r="R6" i="19"/>
  <c r="R7" i="19"/>
  <c r="R8" i="19"/>
  <c r="R9" i="19"/>
  <c r="R10" i="19"/>
  <c r="R11" i="19"/>
  <c r="R12" i="19"/>
  <c r="R13" i="19"/>
  <c r="R14" i="19"/>
  <c r="R15" i="19"/>
  <c r="R16" i="19"/>
  <c r="R17" i="19"/>
  <c r="R18" i="19"/>
  <c r="R19" i="19"/>
  <c r="R20" i="19"/>
  <c r="R21" i="19"/>
  <c r="R22" i="19"/>
  <c r="R23" i="19"/>
  <c r="R24" i="19"/>
  <c r="R25" i="19"/>
  <c r="R26" i="19"/>
  <c r="R27" i="19"/>
  <c r="R28" i="19"/>
  <c r="R29" i="19"/>
  <c r="R33" i="19"/>
  <c r="R34" i="19"/>
  <c r="R35" i="19"/>
  <c r="R36" i="19"/>
  <c r="R37" i="19"/>
  <c r="R38" i="19"/>
  <c r="R39" i="19"/>
  <c r="R40" i="19"/>
  <c r="R41" i="19"/>
  <c r="P4" i="19"/>
  <c r="P5" i="19"/>
  <c r="P6" i="19"/>
  <c r="P7" i="19"/>
  <c r="P8" i="19"/>
  <c r="P9" i="19"/>
  <c r="P10" i="19"/>
  <c r="P11" i="19"/>
  <c r="P12" i="19"/>
  <c r="P13" i="19"/>
  <c r="P14" i="19"/>
  <c r="P15" i="19"/>
  <c r="P16" i="19"/>
  <c r="P17" i="19"/>
  <c r="P18" i="19"/>
  <c r="P19" i="19"/>
  <c r="P20" i="19"/>
  <c r="P21" i="19"/>
  <c r="P22" i="19"/>
  <c r="P23" i="19"/>
  <c r="P24" i="19"/>
  <c r="P25" i="19"/>
  <c r="P26" i="19"/>
  <c r="P27" i="19"/>
  <c r="P28" i="19"/>
  <c r="P29" i="19"/>
  <c r="P30" i="19"/>
  <c r="P31" i="19"/>
  <c r="P33" i="19"/>
  <c r="P34" i="19"/>
  <c r="P35" i="19"/>
  <c r="P36" i="19"/>
  <c r="P37" i="19"/>
  <c r="P38" i="19"/>
  <c r="P41" i="19"/>
  <c r="L4" i="19"/>
  <c r="L5" i="19"/>
  <c r="L6" i="19"/>
  <c r="L7" i="19"/>
  <c r="L8" i="19"/>
  <c r="L9" i="19"/>
  <c r="L10" i="19"/>
  <c r="L11" i="19"/>
  <c r="L12" i="19"/>
  <c r="L13" i="19"/>
  <c r="L14" i="19"/>
  <c r="L16" i="19"/>
  <c r="L17" i="19"/>
  <c r="L18" i="19"/>
  <c r="L19" i="19"/>
  <c r="L20" i="19"/>
  <c r="L21" i="19"/>
  <c r="L22" i="19"/>
  <c r="L23" i="19"/>
  <c r="L24" i="19"/>
  <c r="L25" i="19"/>
  <c r="L26" i="19"/>
  <c r="L27" i="19"/>
  <c r="L28" i="19"/>
  <c r="L29" i="19"/>
  <c r="L30" i="19"/>
  <c r="L31" i="19"/>
  <c r="L33" i="19"/>
  <c r="L34" i="19"/>
  <c r="L35" i="19"/>
  <c r="L36" i="19"/>
  <c r="L37" i="19"/>
  <c r="L38" i="19"/>
  <c r="L39" i="19"/>
  <c r="L40" i="19"/>
  <c r="L41" i="19"/>
  <c r="AD3" i="19"/>
  <c r="AC3" i="19"/>
  <c r="Z3" i="19"/>
  <c r="X3" i="19"/>
  <c r="V3" i="19"/>
  <c r="R3" i="19"/>
  <c r="P3" i="19"/>
  <c r="L3" i="19"/>
  <c r="BV16" i="19"/>
  <c r="CC16" i="19"/>
  <c r="BS16" i="19"/>
  <c r="CG16" i="19"/>
  <c r="BV17" i="19"/>
  <c r="BZ17" i="19"/>
  <c r="CC17" i="19"/>
  <c r="CD17" i="19"/>
  <c r="BS17" i="19"/>
  <c r="CG17" i="19"/>
  <c r="BV15" i="19"/>
  <c r="CC15" i="19"/>
  <c r="CG15" i="19"/>
  <c r="BN12" i="19"/>
  <c r="CB12" i="19" s="1"/>
  <c r="BV12" i="19"/>
  <c r="BZ12" i="19"/>
  <c r="BH3" i="19"/>
  <c r="BI3" i="19" s="1"/>
  <c r="BZ4" i="19"/>
  <c r="CB4" i="19"/>
  <c r="CG4" i="19"/>
  <c r="BZ6" i="19"/>
  <c r="CG6" i="19"/>
  <c r="BN7" i="19"/>
  <c r="CA7" i="19" s="1"/>
  <c r="BZ7" i="19"/>
  <c r="CG7" i="19"/>
  <c r="BN8" i="19"/>
  <c r="CB8" i="19" s="1"/>
  <c r="BZ8" i="19"/>
  <c r="CG8" i="19"/>
  <c r="BI9" i="19"/>
  <c r="BV9" i="19" s="1"/>
  <c r="BN9" i="19"/>
  <c r="CB9" i="19" s="1"/>
  <c r="BZ9" i="19"/>
  <c r="BI10" i="19"/>
  <c r="BU10" i="19" s="1"/>
  <c r="BV10" i="19"/>
  <c r="BN10" i="19"/>
  <c r="CB10" i="19" s="1"/>
  <c r="BZ10" i="19"/>
  <c r="BV11" i="19"/>
  <c r="BZ11" i="19"/>
  <c r="CC11" i="19"/>
  <c r="CG11" i="19"/>
  <c r="BN13" i="19"/>
  <c r="CB13" i="19" s="1"/>
  <c r="BV13" i="19"/>
  <c r="BZ13" i="19"/>
  <c r="BV14" i="19"/>
  <c r="BI18" i="19"/>
  <c r="BV18" i="19" s="1"/>
  <c r="BZ18" i="19"/>
  <c r="BN18" i="19"/>
  <c r="CB18" i="19" s="1"/>
  <c r="BI19" i="19"/>
  <c r="BU19" i="19" s="1"/>
  <c r="BZ19" i="19"/>
  <c r="BN19" i="19"/>
  <c r="CB19" i="19"/>
  <c r="BI20" i="19"/>
  <c r="BV20" i="19" s="1"/>
  <c r="BZ20" i="19"/>
  <c r="BN20" i="19"/>
  <c r="CA20" i="19" s="1"/>
  <c r="CB20" i="19"/>
  <c r="BK21" i="19"/>
  <c r="BI21" i="19"/>
  <c r="BU21" i="19" s="1"/>
  <c r="BQ21" i="19"/>
  <c r="BN21" i="19"/>
  <c r="CB21" i="19" s="1"/>
  <c r="BZ21" i="19"/>
  <c r="CG21" i="19"/>
  <c r="BK22" i="19"/>
  <c r="BI22" i="19"/>
  <c r="BV22" i="19" s="1"/>
  <c r="BN22" i="19"/>
  <c r="CB22" i="19"/>
  <c r="BZ22" i="19"/>
  <c r="CG22" i="19"/>
  <c r="BK23" i="19"/>
  <c r="BI23" i="19" s="1"/>
  <c r="BR23" i="19"/>
  <c r="BN23" i="19"/>
  <c r="CB23" i="19" s="1"/>
  <c r="BZ23" i="19"/>
  <c r="CG23" i="19"/>
  <c r="BO24" i="19"/>
  <c r="BR24" i="19"/>
  <c r="BN24" i="19"/>
  <c r="CA24" i="19" s="1"/>
  <c r="CB24" i="19"/>
  <c r="BL24" i="19"/>
  <c r="BI24" i="19" s="1"/>
  <c r="BZ24" i="19"/>
  <c r="CG24" i="19"/>
  <c r="BN25" i="19"/>
  <c r="CB25" i="19" s="1"/>
  <c r="BI25" i="19"/>
  <c r="BV25" i="19" s="1"/>
  <c r="BZ25" i="19"/>
  <c r="CG25" i="19"/>
  <c r="BN26" i="19"/>
  <c r="CA26" i="19" s="1"/>
  <c r="CB26" i="19"/>
  <c r="BI26" i="19"/>
  <c r="BV26" i="19" s="1"/>
  <c r="BZ26" i="19"/>
  <c r="CG26" i="19"/>
  <c r="BL27" i="19"/>
  <c r="BI27" i="19"/>
  <c r="BV27" i="19" s="1"/>
  <c r="BO27" i="19"/>
  <c r="BN27" i="19"/>
  <c r="CB27" i="19" s="1"/>
  <c r="BZ27" i="19"/>
  <c r="CG27" i="19"/>
  <c r="BL28" i="19"/>
  <c r="BI28" i="19"/>
  <c r="BU28" i="19" s="1"/>
  <c r="BV28" i="19"/>
  <c r="BO28" i="19"/>
  <c r="BN28" i="19"/>
  <c r="CB28" i="19" s="1"/>
  <c r="BZ28" i="19"/>
  <c r="CG28" i="19"/>
  <c r="BL29" i="19"/>
  <c r="BI29" i="19"/>
  <c r="BV29" i="19" s="1"/>
  <c r="BO29" i="19"/>
  <c r="BN29" i="19"/>
  <c r="CB29" i="19" s="1"/>
  <c r="BZ29" i="19"/>
  <c r="CG29" i="19"/>
  <c r="BI30" i="19"/>
  <c r="BV30" i="19" s="1"/>
  <c r="BO30" i="19"/>
  <c r="BN30" i="19"/>
  <c r="CB30" i="19"/>
  <c r="BZ30" i="19"/>
  <c r="CG30" i="19"/>
  <c r="BI31" i="19"/>
  <c r="BV31" i="19" s="1"/>
  <c r="BO31" i="19"/>
  <c r="BN31" i="19"/>
  <c r="CB31" i="19" s="1"/>
  <c r="BZ31" i="19"/>
  <c r="CG31" i="19"/>
  <c r="BK33" i="19"/>
  <c r="BI33" i="19"/>
  <c r="BV33" i="19" s="1"/>
  <c r="BO33" i="19"/>
  <c r="BN33" i="19"/>
  <c r="CA33" i="19" s="1"/>
  <c r="BZ33" i="19"/>
  <c r="CG33" i="19"/>
  <c r="BK34" i="19"/>
  <c r="BI34" i="19"/>
  <c r="BV34" i="19" s="1"/>
  <c r="BO34" i="19"/>
  <c r="CC34" i="19" s="1"/>
  <c r="BN34" i="19"/>
  <c r="CB34" i="19" s="1"/>
  <c r="BZ34" i="19"/>
  <c r="CG34" i="19"/>
  <c r="BJ36" i="19"/>
  <c r="BI36" i="19"/>
  <c r="BU36" i="19" s="1"/>
  <c r="BO36" i="19"/>
  <c r="BN36" i="19" s="1"/>
  <c r="BZ36" i="19"/>
  <c r="CG36" i="19"/>
  <c r="BJ37" i="19"/>
  <c r="BI37" i="19"/>
  <c r="BV37" i="19"/>
  <c r="BO37" i="19"/>
  <c r="BN37" i="19" s="1"/>
  <c r="BZ37" i="19"/>
  <c r="CG37" i="19"/>
  <c r="BJ38" i="19"/>
  <c r="BI38" i="19" s="1"/>
  <c r="BO38" i="19"/>
  <c r="BN38" i="19"/>
  <c r="CB38" i="19" s="1"/>
  <c r="BZ38" i="19"/>
  <c r="CG38" i="19"/>
  <c r="BI39" i="19"/>
  <c r="BU39" i="19" s="1"/>
  <c r="BV39" i="19"/>
  <c r="BN39" i="19"/>
  <c r="CB39" i="19" s="1"/>
  <c r="BZ39" i="19"/>
  <c r="CG39" i="19"/>
  <c r="BI40" i="19"/>
  <c r="BV40" i="19"/>
  <c r="BN40" i="19"/>
  <c r="CB40" i="19" s="1"/>
  <c r="BZ40" i="19"/>
  <c r="CG40" i="19"/>
  <c r="BI41" i="19"/>
  <c r="BU41" i="19" s="1"/>
  <c r="BN41" i="19"/>
  <c r="CB41" i="19" s="1"/>
  <c r="BZ41" i="19"/>
  <c r="CG41" i="19"/>
  <c r="CA6" i="19"/>
  <c r="CA8" i="19"/>
  <c r="BU9" i="19"/>
  <c r="CA9" i="19"/>
  <c r="CA10" i="19"/>
  <c r="CA12" i="19"/>
  <c r="CA13" i="19"/>
  <c r="CA21" i="19"/>
  <c r="BU22" i="19"/>
  <c r="CA22" i="19"/>
  <c r="CA23" i="19"/>
  <c r="CA25" i="19"/>
  <c r="BU27" i="19"/>
  <c r="CA28" i="19"/>
  <c r="BU29" i="19"/>
  <c r="CA29" i="19"/>
  <c r="BU30" i="19"/>
  <c r="CA30" i="19"/>
  <c r="CA31" i="19"/>
  <c r="BU33" i="19"/>
  <c r="BU34" i="19"/>
  <c r="BU37" i="19"/>
  <c r="CA38" i="19"/>
  <c r="CA39" i="19"/>
  <c r="BU40" i="19"/>
  <c r="CA40" i="19"/>
  <c r="CA41" i="19"/>
  <c r="CF4" i="19"/>
  <c r="CF6" i="19"/>
  <c r="CF7" i="19"/>
  <c r="CF8" i="19"/>
  <c r="CF21" i="19"/>
  <c r="CF22" i="19"/>
  <c r="CF23" i="19"/>
  <c r="CF24" i="19"/>
  <c r="CF25" i="19"/>
  <c r="CF26" i="19"/>
  <c r="CF27" i="19"/>
  <c r="CF28" i="19"/>
  <c r="CF29" i="19"/>
  <c r="CF30" i="19"/>
  <c r="CF31" i="19"/>
  <c r="CF33" i="19"/>
  <c r="CF34" i="19"/>
  <c r="CF36" i="19"/>
  <c r="CF37" i="19"/>
  <c r="CF38" i="19"/>
  <c r="CF39" i="19"/>
  <c r="CF40" i="19"/>
  <c r="CF41" i="19"/>
  <c r="CE6" i="19"/>
  <c r="CE7" i="19"/>
  <c r="CE8" i="19"/>
  <c r="CE9" i="19"/>
  <c r="CE10" i="19"/>
  <c r="CE12" i="19"/>
  <c r="CE13" i="19"/>
  <c r="CE21" i="19"/>
  <c r="CE22" i="19"/>
  <c r="CE23" i="19"/>
  <c r="CE24" i="19"/>
  <c r="CE25" i="19"/>
  <c r="CE26" i="19"/>
  <c r="CE27" i="19"/>
  <c r="CE28" i="19"/>
  <c r="CE29" i="19"/>
  <c r="CE30" i="19"/>
  <c r="CE31" i="19"/>
  <c r="CE33" i="19"/>
  <c r="CE34" i="19"/>
  <c r="CE36" i="19"/>
  <c r="CE37" i="19"/>
  <c r="CE38" i="19"/>
  <c r="CE39" i="19"/>
  <c r="CE40" i="19"/>
  <c r="CE41" i="19"/>
  <c r="CD4" i="19"/>
  <c r="CD6" i="19"/>
  <c r="CD7" i="19"/>
  <c r="CD8" i="19"/>
  <c r="CD9" i="19"/>
  <c r="CD10" i="19"/>
  <c r="CD12" i="19"/>
  <c r="CD13" i="19"/>
  <c r="CD21" i="19"/>
  <c r="CD22" i="19"/>
  <c r="CD23" i="19"/>
  <c r="CD24" i="19"/>
  <c r="CD25" i="19"/>
  <c r="CD26" i="19"/>
  <c r="CD27" i="19"/>
  <c r="CD28" i="19"/>
  <c r="CD29" i="19"/>
  <c r="CD30" i="19"/>
  <c r="CD31" i="19"/>
  <c r="CD33" i="19"/>
  <c r="CD34" i="19"/>
  <c r="CD36" i="19"/>
  <c r="CD37" i="19"/>
  <c r="CD38" i="19"/>
  <c r="CD39" i="19"/>
  <c r="CD40" i="19"/>
  <c r="CD41" i="19"/>
  <c r="CC4" i="19"/>
  <c r="CC6" i="19"/>
  <c r="CC7" i="19"/>
  <c r="CC8" i="19"/>
  <c r="CC9" i="19"/>
  <c r="CC10" i="19"/>
  <c r="CC12" i="19"/>
  <c r="CC13" i="19"/>
  <c r="CC18" i="19"/>
  <c r="CC19" i="19"/>
  <c r="CC20" i="19"/>
  <c r="CC21" i="19"/>
  <c r="CC22" i="19"/>
  <c r="CC23" i="19"/>
  <c r="CC24" i="19"/>
  <c r="CC25" i="19"/>
  <c r="CC26" i="19"/>
  <c r="CC27" i="19"/>
  <c r="CC28" i="19"/>
  <c r="CC29" i="19"/>
  <c r="CC30" i="19"/>
  <c r="CC31" i="19"/>
  <c r="CC33" i="19"/>
  <c r="CC36" i="19"/>
  <c r="CC38" i="19"/>
  <c r="CC39" i="19"/>
  <c r="CC40" i="19"/>
  <c r="CC41" i="19"/>
  <c r="CA19" i="19"/>
  <c r="CA18" i="19"/>
  <c r="CA4" i="19"/>
  <c r="CA3" i="19"/>
  <c r="BY9" i="19"/>
  <c r="BY10" i="19"/>
  <c r="BY11" i="19"/>
  <c r="BY18" i="19"/>
  <c r="BY19" i="19"/>
  <c r="BY20" i="19"/>
  <c r="BY21" i="19"/>
  <c r="BY22" i="19"/>
  <c r="BY23" i="19"/>
  <c r="BY25" i="19"/>
  <c r="BY26" i="19"/>
  <c r="BY27" i="19"/>
  <c r="BY28" i="19"/>
  <c r="BY29" i="19"/>
  <c r="BY30" i="19"/>
  <c r="BY31" i="19"/>
  <c r="BY33" i="19"/>
  <c r="BY34" i="19"/>
  <c r="BY36" i="19"/>
  <c r="BY37" i="19"/>
  <c r="BY38" i="19"/>
  <c r="BY39" i="19"/>
  <c r="BY40" i="19"/>
  <c r="BY41" i="19"/>
  <c r="BX9" i="19"/>
  <c r="BX10" i="19"/>
  <c r="BX11" i="19"/>
  <c r="BX18" i="19"/>
  <c r="BX19" i="19"/>
  <c r="BX20" i="19"/>
  <c r="BX21" i="19"/>
  <c r="BX22" i="19"/>
  <c r="BX23" i="19"/>
  <c r="BX27" i="19"/>
  <c r="BX28" i="19"/>
  <c r="BX29" i="19"/>
  <c r="BX30" i="19"/>
  <c r="BX31" i="19"/>
  <c r="BX33" i="19"/>
  <c r="BX34" i="19"/>
  <c r="BX36" i="19"/>
  <c r="BX37" i="19"/>
  <c r="BX38" i="19"/>
  <c r="BX39" i="19"/>
  <c r="BX40" i="19"/>
  <c r="BX41" i="19"/>
  <c r="BW9" i="19"/>
  <c r="BW10" i="19"/>
  <c r="BW11" i="19"/>
  <c r="BW18" i="19"/>
  <c r="BW19" i="19"/>
  <c r="BW20" i="19"/>
  <c r="BW21" i="19"/>
  <c r="BW22" i="19"/>
  <c r="BW23" i="19"/>
  <c r="BW27" i="19"/>
  <c r="BW28" i="19"/>
  <c r="BW29" i="19"/>
  <c r="BW30" i="19"/>
  <c r="BW31" i="19"/>
  <c r="BW33" i="19"/>
  <c r="BW34" i="19"/>
  <c r="BW36" i="19"/>
  <c r="BW37" i="19"/>
  <c r="BW38" i="19"/>
  <c r="BW39" i="19"/>
  <c r="BW40" i="19"/>
  <c r="BW41" i="19"/>
  <c r="BT22" i="19"/>
  <c r="BT24" i="19"/>
  <c r="BU25" i="19"/>
  <c r="BU17" i="19"/>
  <c r="BU16" i="19"/>
  <c r="BU15" i="19"/>
  <c r="BU14" i="19"/>
  <c r="BU13" i="19"/>
  <c r="BU12" i="19"/>
  <c r="BU11" i="19"/>
  <c r="BT23" i="19"/>
  <c r="BT21" i="19"/>
  <c r="BT25" i="19"/>
  <c r="BT26" i="19"/>
  <c r="BT19" i="19"/>
  <c r="BT20" i="19"/>
  <c r="BT27" i="19"/>
  <c r="BT28" i="19"/>
  <c r="BT29" i="19"/>
  <c r="BT30" i="19"/>
  <c r="BT31" i="19"/>
  <c r="BT33" i="19"/>
  <c r="BT34" i="19"/>
  <c r="BT36" i="19"/>
  <c r="BT37" i="19"/>
  <c r="BT38" i="19"/>
  <c r="BT39" i="19"/>
  <c r="BT40" i="19"/>
  <c r="BT41" i="19"/>
  <c r="BT7" i="19"/>
  <c r="BT8" i="19"/>
  <c r="BT9" i="19"/>
  <c r="BT10" i="19"/>
  <c r="BT11" i="19"/>
  <c r="BT12" i="19"/>
  <c r="BT13" i="19"/>
  <c r="BT14" i="19"/>
  <c r="BT15" i="19"/>
  <c r="BT16" i="19"/>
  <c r="BT17" i="19"/>
  <c r="BT18" i="19"/>
  <c r="BT6" i="19"/>
  <c r="BT4" i="19"/>
  <c r="AV11" i="19"/>
  <c r="BC11" i="19"/>
  <c r="BG11" i="19"/>
  <c r="AV3" i="19"/>
  <c r="AZ3" i="19"/>
  <c r="BB3" i="19"/>
  <c r="BG3" i="19"/>
  <c r="AV4" i="19"/>
  <c r="AZ4" i="19"/>
  <c r="BB4" i="19"/>
  <c r="BG4" i="19"/>
  <c r="AK6" i="19"/>
  <c r="AL6" i="19"/>
  <c r="AI6" i="19" s="1"/>
  <c r="AR6" i="19"/>
  <c r="AN6" i="19"/>
  <c r="BB6" i="19" s="1"/>
  <c r="AZ6" i="19"/>
  <c r="BG6" i="19"/>
  <c r="AL7" i="19"/>
  <c r="AI7" i="19" s="1"/>
  <c r="AU7" i="19" s="1"/>
  <c r="AN7" i="19"/>
  <c r="BB7" i="19"/>
  <c r="AZ7" i="19"/>
  <c r="BG7" i="19"/>
  <c r="AL8" i="19"/>
  <c r="AK8" i="19"/>
  <c r="AI8" i="19" s="1"/>
  <c r="AN8" i="19"/>
  <c r="BB8" i="19" s="1"/>
  <c r="AZ8" i="19"/>
  <c r="AL9" i="19"/>
  <c r="AI9" i="19" s="1"/>
  <c r="AN9" i="19"/>
  <c r="BB9" i="19"/>
  <c r="AZ9" i="19"/>
  <c r="BG9" i="19"/>
  <c r="AL10" i="19"/>
  <c r="AI10" i="19"/>
  <c r="AV10" i="19" s="1"/>
  <c r="AN10" i="19"/>
  <c r="BB10" i="19"/>
  <c r="AZ10" i="19"/>
  <c r="BG10" i="19"/>
  <c r="AN12" i="19"/>
  <c r="BB12" i="19" s="1"/>
  <c r="AV12" i="19"/>
  <c r="AZ12" i="19"/>
  <c r="BG12" i="19"/>
  <c r="AN13" i="19"/>
  <c r="BB13" i="19" s="1"/>
  <c r="AV13" i="19"/>
  <c r="AZ13" i="19"/>
  <c r="BG13" i="19"/>
  <c r="AN14" i="19"/>
  <c r="BB14" i="19" s="1"/>
  <c r="AV14" i="19"/>
  <c r="AZ14" i="19"/>
  <c r="BG14" i="19"/>
  <c r="AI15" i="19"/>
  <c r="AV15" i="19" s="1"/>
  <c r="AN15" i="19"/>
  <c r="BB15" i="19" s="1"/>
  <c r="AZ15" i="19"/>
  <c r="BG15" i="19"/>
  <c r="AI16" i="19"/>
  <c r="AV16" i="19" s="1"/>
  <c r="AN16" i="19"/>
  <c r="BA16" i="19" s="1"/>
  <c r="BB16" i="19"/>
  <c r="AZ16" i="19"/>
  <c r="BG16" i="19"/>
  <c r="AI17" i="19"/>
  <c r="AV17" i="19" s="1"/>
  <c r="AN17" i="19"/>
  <c r="BB17" i="19" s="1"/>
  <c r="AZ17" i="19"/>
  <c r="BG17" i="19"/>
  <c r="AI18" i="19"/>
  <c r="AV18" i="19" s="1"/>
  <c r="AZ18" i="19"/>
  <c r="AN18" i="19"/>
  <c r="BB18" i="19"/>
  <c r="BG18" i="19"/>
  <c r="AI19" i="19"/>
  <c r="AV19" i="19" s="1"/>
  <c r="AN19" i="19"/>
  <c r="BB19" i="19" s="1"/>
  <c r="AZ19" i="19"/>
  <c r="BG19" i="19"/>
  <c r="AI20" i="19"/>
  <c r="AV20" i="19" s="1"/>
  <c r="AN20" i="19"/>
  <c r="BB20" i="19" s="1"/>
  <c r="AZ20" i="19"/>
  <c r="BG20" i="19"/>
  <c r="AI21" i="19"/>
  <c r="AV21" i="19" s="1"/>
  <c r="AR21" i="19"/>
  <c r="AN21" i="19"/>
  <c r="BB21" i="19" s="1"/>
  <c r="AZ21" i="19"/>
  <c r="BG21" i="19"/>
  <c r="AI22" i="19"/>
  <c r="AV22" i="19" s="1"/>
  <c r="AR22" i="19"/>
  <c r="AN22" i="19" s="1"/>
  <c r="BB22" i="19" s="1"/>
  <c r="AZ22" i="19"/>
  <c r="BG22" i="19"/>
  <c r="AI23" i="19"/>
  <c r="AU23" i="19" s="1"/>
  <c r="AR23" i="19"/>
  <c r="AN23" i="19"/>
  <c r="BB23" i="19"/>
  <c r="AZ23" i="19"/>
  <c r="BG23" i="19"/>
  <c r="AP24" i="19"/>
  <c r="BD24" i="19" s="1"/>
  <c r="AN24" i="19"/>
  <c r="BB24" i="19" s="1"/>
  <c r="AI24" i="19"/>
  <c r="AV24" i="19" s="1"/>
  <c r="AZ24" i="19"/>
  <c r="BG24" i="19"/>
  <c r="AN25" i="19"/>
  <c r="BB25" i="19" s="1"/>
  <c r="AI25" i="19"/>
  <c r="AV25" i="19"/>
  <c r="AZ25" i="19"/>
  <c r="BG25" i="19"/>
  <c r="AN26" i="19"/>
  <c r="BA26" i="19" s="1"/>
  <c r="AI26" i="19"/>
  <c r="AU26" i="19" s="1"/>
  <c r="AV26" i="19"/>
  <c r="AZ26" i="19"/>
  <c r="BG26" i="19"/>
  <c r="AL27" i="19"/>
  <c r="AI27" i="19"/>
  <c r="AV27" i="19" s="1"/>
  <c r="AO27" i="19"/>
  <c r="AN27" i="19"/>
  <c r="BB27" i="19"/>
  <c r="AZ27" i="19"/>
  <c r="BG27" i="19"/>
  <c r="AL28" i="19"/>
  <c r="AY28" i="19" s="1"/>
  <c r="AI28" i="19"/>
  <c r="AV28" i="19" s="1"/>
  <c r="AO28" i="19"/>
  <c r="AN28" i="19" s="1"/>
  <c r="AQ28" i="19"/>
  <c r="AZ28" i="19"/>
  <c r="BG28" i="19"/>
  <c r="AL29" i="19"/>
  <c r="AI29" i="19"/>
  <c r="AU29" i="19" s="1"/>
  <c r="AO29" i="19"/>
  <c r="AN29" i="19"/>
  <c r="BB29" i="19" s="1"/>
  <c r="AZ29" i="19"/>
  <c r="BG29" i="19"/>
  <c r="AO30" i="19"/>
  <c r="AN30" i="19" s="1"/>
  <c r="BB30" i="19" s="1"/>
  <c r="AI30" i="19"/>
  <c r="AV30" i="19" s="1"/>
  <c r="AZ30" i="19"/>
  <c r="BG30" i="19"/>
  <c r="AO31" i="19"/>
  <c r="AN31" i="19" s="1"/>
  <c r="AI31" i="19"/>
  <c r="AV31" i="19"/>
  <c r="AZ31" i="19"/>
  <c r="BG31" i="19"/>
  <c r="AK33" i="19"/>
  <c r="AI33" i="19" s="1"/>
  <c r="AO33" i="19"/>
  <c r="AN33" i="19"/>
  <c r="BB33" i="19" s="1"/>
  <c r="AZ33" i="19"/>
  <c r="BG33" i="19"/>
  <c r="AK34" i="19"/>
  <c r="AI34" i="19"/>
  <c r="AV34" i="19" s="1"/>
  <c r="AO34" i="19"/>
  <c r="BC34" i="19" s="1"/>
  <c r="AN34" i="19"/>
  <c r="BB34" i="19" s="1"/>
  <c r="AZ34" i="19"/>
  <c r="BG34" i="19"/>
  <c r="AI36" i="19"/>
  <c r="AV36" i="19"/>
  <c r="AO36" i="19"/>
  <c r="AN36" i="19"/>
  <c r="BB36" i="19" s="1"/>
  <c r="AI37" i="19"/>
  <c r="AV37" i="19" s="1"/>
  <c r="AN37" i="19"/>
  <c r="BB37" i="19"/>
  <c r="AI38" i="19"/>
  <c r="AV38" i="19" s="1"/>
  <c r="AO38" i="19"/>
  <c r="AN38" i="19" s="1"/>
  <c r="AN39" i="19"/>
  <c r="BB39" i="19" s="1"/>
  <c r="AI39" i="19"/>
  <c r="AV39" i="19" s="1"/>
  <c r="AZ39" i="19"/>
  <c r="BG39" i="19"/>
  <c r="AN40" i="19"/>
  <c r="BB40" i="19" s="1"/>
  <c r="AI40" i="19"/>
  <c r="AU40" i="19" s="1"/>
  <c r="AV40" i="19"/>
  <c r="AZ40" i="19"/>
  <c r="BG40" i="19"/>
  <c r="AN41" i="19"/>
  <c r="BB41" i="19" s="1"/>
  <c r="AI41" i="19"/>
  <c r="AU41" i="19" s="1"/>
  <c r="AZ41" i="19"/>
  <c r="BG41" i="19"/>
  <c r="AU11" i="19"/>
  <c r="AT11" i="19"/>
  <c r="BF14" i="19"/>
  <c r="BE14" i="19"/>
  <c r="BD14" i="19"/>
  <c r="BC14" i="19"/>
  <c r="AU14" i="19"/>
  <c r="AX34" i="19"/>
  <c r="AX27" i="19"/>
  <c r="AC16" i="13"/>
  <c r="AS16" i="13" s="1"/>
  <c r="AC15" i="13"/>
  <c r="AP15" i="13" s="1"/>
  <c r="AC17" i="13"/>
  <c r="AT29" i="19" s="1"/>
  <c r="AC11" i="13"/>
  <c r="AT23" i="19" s="1"/>
  <c r="AC10" i="13"/>
  <c r="AT22" i="19" s="1"/>
  <c r="AC9" i="13"/>
  <c r="AW9" i="13" s="1"/>
  <c r="BE8" i="19"/>
  <c r="AT8" i="19"/>
  <c r="AU34" i="19"/>
  <c r="BC30" i="19"/>
  <c r="BD30" i="19"/>
  <c r="AW21" i="19"/>
  <c r="AL12" i="19"/>
  <c r="AK12" i="19"/>
  <c r="AX12" i="19"/>
  <c r="BE15" i="19"/>
  <c r="BD15" i="19"/>
  <c r="BC15" i="19"/>
  <c r="BA15" i="19"/>
  <c r="AY15" i="19"/>
  <c r="AX15" i="19"/>
  <c r="AW15" i="19"/>
  <c r="AU13" i="19"/>
  <c r="AU15" i="19"/>
  <c r="AT15" i="19"/>
  <c r="AC4" i="13"/>
  <c r="AS4" i="13" s="1"/>
  <c r="AT16" i="19"/>
  <c r="BD34" i="19"/>
  <c r="BC37" i="19"/>
  <c r="AX6" i="19"/>
  <c r="AX7" i="19"/>
  <c r="AX8" i="19"/>
  <c r="AX9" i="19"/>
  <c r="AX10" i="19"/>
  <c r="AL13" i="19"/>
  <c r="AK13" i="19"/>
  <c r="AX13" i="19"/>
  <c r="AX16" i="19"/>
  <c r="AX17" i="19"/>
  <c r="AX18" i="19"/>
  <c r="AX19" i="19"/>
  <c r="AX20" i="19"/>
  <c r="AX21" i="19"/>
  <c r="AX22" i="19"/>
  <c r="AX23" i="19"/>
  <c r="AX28" i="19"/>
  <c r="AX29" i="19"/>
  <c r="AX33" i="19"/>
  <c r="AX39" i="19"/>
  <c r="AX40" i="19"/>
  <c r="AX41" i="19"/>
  <c r="AY34" i="19"/>
  <c r="AC25" i="13"/>
  <c r="AU25" i="13" s="1"/>
  <c r="BF3" i="19"/>
  <c r="BF4" i="19"/>
  <c r="BF6" i="19"/>
  <c r="BF7" i="19"/>
  <c r="BF9" i="19"/>
  <c r="BF10" i="19"/>
  <c r="BF12" i="19"/>
  <c r="BF13" i="19"/>
  <c r="BF15" i="19"/>
  <c r="BF16" i="19"/>
  <c r="BF17" i="19"/>
  <c r="BF18" i="19"/>
  <c r="BF19" i="19"/>
  <c r="BF20" i="19"/>
  <c r="BF21" i="19"/>
  <c r="BF23" i="19"/>
  <c r="BF24" i="19"/>
  <c r="BF25" i="19"/>
  <c r="BF26" i="19"/>
  <c r="BF27" i="19"/>
  <c r="BF28" i="19"/>
  <c r="BF29" i="19"/>
  <c r="BF33" i="19"/>
  <c r="BF34" i="19"/>
  <c r="BF39" i="19"/>
  <c r="BF40" i="19"/>
  <c r="BF41" i="19"/>
  <c r="BE3" i="19"/>
  <c r="BE4" i="19"/>
  <c r="BE6" i="19"/>
  <c r="BE7" i="19"/>
  <c r="BE9" i="19"/>
  <c r="BE10" i="19"/>
  <c r="BE12" i="19"/>
  <c r="BE13" i="19"/>
  <c r="BE16" i="19"/>
  <c r="BE17" i="19"/>
  <c r="AQ18" i="19"/>
  <c r="BE18" i="19" s="1"/>
  <c r="BE19" i="19"/>
  <c r="BE20" i="19"/>
  <c r="BE21" i="19"/>
  <c r="BE22" i="19"/>
  <c r="BE23" i="19"/>
  <c r="BE24" i="19"/>
  <c r="BE25" i="19"/>
  <c r="BE26" i="19"/>
  <c r="BE27" i="19"/>
  <c r="BE28" i="19"/>
  <c r="BE29" i="19"/>
  <c r="BE33" i="19"/>
  <c r="BE34" i="19"/>
  <c r="BE39" i="19"/>
  <c r="BE40" i="19"/>
  <c r="BE41" i="19"/>
  <c r="BD3" i="19"/>
  <c r="BD4" i="19"/>
  <c r="BD6" i="19"/>
  <c r="BD7" i="19"/>
  <c r="BD8" i="19"/>
  <c r="BD9" i="19"/>
  <c r="BD10" i="19"/>
  <c r="BD12" i="19"/>
  <c r="BD13" i="19"/>
  <c r="BD16" i="19"/>
  <c r="BD17" i="19"/>
  <c r="BD18" i="19"/>
  <c r="BD19" i="19"/>
  <c r="BD20" i="19"/>
  <c r="BD21" i="19"/>
  <c r="BD22" i="19"/>
  <c r="BD23" i="19"/>
  <c r="BD25" i="19"/>
  <c r="BD26" i="19"/>
  <c r="BD27" i="19"/>
  <c r="BD28" i="19"/>
  <c r="BD29" i="19"/>
  <c r="BD31" i="19"/>
  <c r="BD33" i="19"/>
  <c r="BD39" i="19"/>
  <c r="BD40" i="19"/>
  <c r="BD41" i="19"/>
  <c r="BC3" i="19"/>
  <c r="BC4" i="19"/>
  <c r="BC6" i="19"/>
  <c r="BC7" i="19"/>
  <c r="BC8" i="19"/>
  <c r="BC9" i="19"/>
  <c r="BC10" i="19"/>
  <c r="BC12" i="19"/>
  <c r="BC13" i="19"/>
  <c r="BC16" i="19"/>
  <c r="BC17" i="19"/>
  <c r="BC18" i="19"/>
  <c r="BC19" i="19"/>
  <c r="BC20" i="19"/>
  <c r="BC21" i="19"/>
  <c r="BC22" i="19"/>
  <c r="BC23" i="19"/>
  <c r="BC24" i="19"/>
  <c r="BC25" i="19"/>
  <c r="BC26" i="19"/>
  <c r="BC27" i="19"/>
  <c r="BC28" i="19"/>
  <c r="BC29" i="19"/>
  <c r="BC31" i="19"/>
  <c r="BC33" i="19"/>
  <c r="BC36" i="19"/>
  <c r="BC38" i="19"/>
  <c r="BC40" i="19"/>
  <c r="BC41" i="19"/>
  <c r="BA36" i="19"/>
  <c r="BA27" i="19"/>
  <c r="BA20" i="19"/>
  <c r="BA21" i="19"/>
  <c r="BA23" i="19"/>
  <c r="BA25" i="19"/>
  <c r="BA33" i="19"/>
  <c r="BA37" i="19"/>
  <c r="BA39" i="19"/>
  <c r="BA41" i="19"/>
  <c r="BA18" i="19"/>
  <c r="BA13" i="19"/>
  <c r="BA12" i="19"/>
  <c r="BA9" i="19"/>
  <c r="BA10" i="19"/>
  <c r="BA7" i="19"/>
  <c r="BA8" i="19"/>
  <c r="BA6" i="19"/>
  <c r="BA4" i="19"/>
  <c r="BA3" i="19"/>
  <c r="AY6" i="19"/>
  <c r="AY7" i="19"/>
  <c r="AY8" i="19"/>
  <c r="AY10" i="19"/>
  <c r="AY12" i="19"/>
  <c r="AY13" i="19"/>
  <c r="AY16" i="19"/>
  <c r="AY17" i="19"/>
  <c r="AY18" i="19"/>
  <c r="AY19" i="19"/>
  <c r="AY20" i="19"/>
  <c r="AY21" i="19"/>
  <c r="AY22" i="19"/>
  <c r="AY23" i="19"/>
  <c r="AY24" i="19"/>
  <c r="AY25" i="19"/>
  <c r="AY26" i="19"/>
  <c r="AY27" i="19"/>
  <c r="AY29" i="19"/>
  <c r="AY30" i="19"/>
  <c r="AY31" i="19"/>
  <c r="AY33" i="19"/>
  <c r="AY39" i="19"/>
  <c r="AY40" i="19"/>
  <c r="AY41" i="19"/>
  <c r="AW8" i="19"/>
  <c r="AW6" i="19"/>
  <c r="AW7" i="19"/>
  <c r="AW9" i="19"/>
  <c r="AW10" i="19"/>
  <c r="AW12" i="19"/>
  <c r="AW13" i="19"/>
  <c r="AW16" i="19"/>
  <c r="AW17" i="19"/>
  <c r="AW18" i="19"/>
  <c r="AW19" i="19"/>
  <c r="AW20" i="19"/>
  <c r="AW22" i="19"/>
  <c r="AW23" i="19"/>
  <c r="AW28" i="19"/>
  <c r="AW29" i="19"/>
  <c r="AW33" i="19"/>
  <c r="AW34" i="19"/>
  <c r="AW36" i="19"/>
  <c r="AW37" i="19"/>
  <c r="AW38" i="19"/>
  <c r="AW39" i="19"/>
  <c r="AW40" i="19"/>
  <c r="AW41" i="19"/>
  <c r="AU39" i="19"/>
  <c r="AU37" i="19"/>
  <c r="AU36" i="19"/>
  <c r="AU31" i="19"/>
  <c r="AU25" i="19"/>
  <c r="AU24" i="19"/>
  <c r="AU21" i="19"/>
  <c r="AU12" i="19"/>
  <c r="AU10" i="19"/>
  <c r="AU4" i="19"/>
  <c r="AU3" i="19"/>
  <c r="AC12" i="13"/>
  <c r="AS12" i="13" s="1"/>
  <c r="AC13" i="13"/>
  <c r="AW13" i="13" s="1"/>
  <c r="AC14" i="13"/>
  <c r="AT26" i="19" s="1"/>
  <c r="AC18" i="13"/>
  <c r="AT30" i="19"/>
  <c r="AC19" i="13"/>
  <c r="AT31" i="19" s="1"/>
  <c r="AC21" i="13"/>
  <c r="AV21" i="13" s="1"/>
  <c r="AC22" i="13"/>
  <c r="AY22" i="13" s="1"/>
  <c r="AC24" i="13"/>
  <c r="AQ24" i="13" s="1"/>
  <c r="AC26" i="13"/>
  <c r="AT38" i="19" s="1"/>
  <c r="AC27" i="13"/>
  <c r="AT39" i="19"/>
  <c r="AC28" i="13"/>
  <c r="AT40" i="19" s="1"/>
  <c r="AC29" i="13"/>
  <c r="AU29" i="13" s="1"/>
  <c r="AC7" i="13"/>
  <c r="AP7" i="13" s="1"/>
  <c r="AC8" i="13"/>
  <c r="AS8" i="13" s="1"/>
  <c r="AC6" i="13"/>
  <c r="AT18" i="19" s="1"/>
  <c r="AT17" i="19"/>
  <c r="AT9" i="19"/>
  <c r="AT7" i="19"/>
  <c r="AT6" i="19"/>
  <c r="AT4" i="19"/>
  <c r="I3" i="13"/>
  <c r="BM3" i="13"/>
  <c r="BN3" i="13"/>
  <c r="BO3" i="13"/>
  <c r="BP3" i="13"/>
  <c r="BR3" i="13"/>
  <c r="BS3" i="13"/>
  <c r="BT3" i="13"/>
  <c r="BU3" i="13"/>
  <c r="BV3" i="13"/>
  <c r="BM4" i="13"/>
  <c r="BN4" i="13"/>
  <c r="BO4" i="13"/>
  <c r="BP4" i="13"/>
  <c r="BR4" i="13"/>
  <c r="BS4" i="13"/>
  <c r="BT4" i="13"/>
  <c r="BU4" i="13"/>
  <c r="BV4" i="13"/>
  <c r="BM5" i="13"/>
  <c r="BN5" i="13"/>
  <c r="BO5" i="13"/>
  <c r="BP5" i="13"/>
  <c r="BR5" i="13"/>
  <c r="BS5" i="13"/>
  <c r="BT5" i="13"/>
  <c r="BU5" i="13"/>
  <c r="BV5" i="13"/>
  <c r="BM6" i="13"/>
  <c r="BN6" i="13"/>
  <c r="BO6" i="13"/>
  <c r="BP6" i="13"/>
  <c r="BR6" i="13"/>
  <c r="BS6" i="13"/>
  <c r="BT6" i="13"/>
  <c r="BU6" i="13"/>
  <c r="BV6" i="13"/>
  <c r="BM7" i="13"/>
  <c r="BN7" i="13"/>
  <c r="BO7" i="13"/>
  <c r="BP7" i="13"/>
  <c r="BR7" i="13"/>
  <c r="BS7" i="13"/>
  <c r="BT7" i="13"/>
  <c r="BU7" i="13"/>
  <c r="BV7" i="13"/>
  <c r="BM8" i="13"/>
  <c r="BN8" i="13"/>
  <c r="BO8" i="13"/>
  <c r="BP8" i="13"/>
  <c r="BR8" i="13"/>
  <c r="BS8" i="13"/>
  <c r="BT8" i="13"/>
  <c r="BU8" i="13"/>
  <c r="BV8" i="13"/>
  <c r="BM9" i="13"/>
  <c r="BN9" i="13"/>
  <c r="BO9" i="13"/>
  <c r="BP9" i="13"/>
  <c r="BR9" i="13"/>
  <c r="BS9" i="13"/>
  <c r="BT9" i="13"/>
  <c r="BU9" i="13"/>
  <c r="BV9" i="13"/>
  <c r="BM10" i="13"/>
  <c r="BN10" i="13"/>
  <c r="BO10" i="13"/>
  <c r="BP10" i="13"/>
  <c r="BR10" i="13"/>
  <c r="BS10" i="13"/>
  <c r="BT10" i="13"/>
  <c r="BU10" i="13"/>
  <c r="BV10" i="13"/>
  <c r="BM11" i="13"/>
  <c r="BN11" i="13"/>
  <c r="BO11" i="13"/>
  <c r="BP11" i="13"/>
  <c r="BR11" i="13"/>
  <c r="BS11" i="13"/>
  <c r="BT11" i="13"/>
  <c r="BU11" i="13"/>
  <c r="BV11" i="13"/>
  <c r="BM12" i="13"/>
  <c r="BN12" i="13"/>
  <c r="BO12" i="13"/>
  <c r="BP12" i="13"/>
  <c r="BR12" i="13"/>
  <c r="BS12" i="13"/>
  <c r="BT12" i="13"/>
  <c r="BU12" i="13"/>
  <c r="BV12" i="13"/>
  <c r="BM13" i="13"/>
  <c r="BN13" i="13"/>
  <c r="BO13" i="13"/>
  <c r="BP13" i="13"/>
  <c r="BR13" i="13"/>
  <c r="BS13" i="13"/>
  <c r="BT13" i="13"/>
  <c r="BU13" i="13"/>
  <c r="BV13" i="13"/>
  <c r="BM14" i="13"/>
  <c r="BN14" i="13"/>
  <c r="BO14" i="13"/>
  <c r="BP14" i="13"/>
  <c r="BR14" i="13"/>
  <c r="BS14" i="13"/>
  <c r="BT14" i="13"/>
  <c r="BU14" i="13"/>
  <c r="BV14" i="13"/>
  <c r="BM15" i="13"/>
  <c r="BN15" i="13"/>
  <c r="BO15" i="13"/>
  <c r="BP15" i="13"/>
  <c r="BR15" i="13"/>
  <c r="BS15" i="13"/>
  <c r="BT15" i="13"/>
  <c r="BU15" i="13"/>
  <c r="BV15" i="13"/>
  <c r="BM16" i="13"/>
  <c r="BN16" i="13"/>
  <c r="BO16" i="13"/>
  <c r="BP16" i="13"/>
  <c r="BR16" i="13"/>
  <c r="BS16" i="13"/>
  <c r="BT16" i="13"/>
  <c r="BU16" i="13"/>
  <c r="BV16" i="13"/>
  <c r="BM17" i="13"/>
  <c r="BN17" i="13"/>
  <c r="BO17" i="13"/>
  <c r="BP17" i="13"/>
  <c r="BR17" i="13"/>
  <c r="BS17" i="13"/>
  <c r="BT17" i="13"/>
  <c r="BU17" i="13"/>
  <c r="BV17" i="13"/>
  <c r="BM18" i="13"/>
  <c r="BN18" i="13"/>
  <c r="BO18" i="13"/>
  <c r="BP18" i="13"/>
  <c r="BR18" i="13"/>
  <c r="BS18" i="13"/>
  <c r="BT18" i="13"/>
  <c r="BU18" i="13"/>
  <c r="BV18" i="13"/>
  <c r="BM19" i="13"/>
  <c r="BN19" i="13"/>
  <c r="BO19" i="13"/>
  <c r="BP19" i="13"/>
  <c r="BR19" i="13"/>
  <c r="BS19" i="13"/>
  <c r="BT19" i="13"/>
  <c r="BU19" i="13"/>
  <c r="BV19" i="13"/>
  <c r="BM20" i="13"/>
  <c r="BN20" i="13"/>
  <c r="BO20" i="13"/>
  <c r="BP20" i="13"/>
  <c r="BR20" i="13"/>
  <c r="BS20" i="13"/>
  <c r="BT20" i="13"/>
  <c r="BU20" i="13"/>
  <c r="BV20" i="13"/>
  <c r="BM21" i="13"/>
  <c r="BN21" i="13"/>
  <c r="BO21" i="13"/>
  <c r="BP21" i="13"/>
  <c r="BR21" i="13"/>
  <c r="BS21" i="13"/>
  <c r="BT21" i="13"/>
  <c r="BU21" i="13"/>
  <c r="BV21" i="13"/>
  <c r="BM22" i="13"/>
  <c r="BN22" i="13"/>
  <c r="BO22" i="13"/>
  <c r="BP22" i="13"/>
  <c r="BR22" i="13"/>
  <c r="BS22" i="13"/>
  <c r="BT22" i="13"/>
  <c r="BU22" i="13"/>
  <c r="BV22" i="13"/>
  <c r="BM23" i="13"/>
  <c r="BN23" i="13"/>
  <c r="BO23" i="13"/>
  <c r="BP23" i="13"/>
  <c r="BR23" i="13"/>
  <c r="BS23" i="13"/>
  <c r="BT23" i="13"/>
  <c r="BU23" i="13"/>
  <c r="BV23" i="13"/>
  <c r="BM24" i="13"/>
  <c r="BN24" i="13"/>
  <c r="BO24" i="13"/>
  <c r="BP24" i="13"/>
  <c r="BR24" i="13"/>
  <c r="BS24" i="13"/>
  <c r="BT24" i="13"/>
  <c r="BU24" i="13"/>
  <c r="BV24" i="13"/>
  <c r="BM25" i="13"/>
  <c r="BN25" i="13"/>
  <c r="BO25" i="13"/>
  <c r="BP25" i="13"/>
  <c r="BR25" i="13"/>
  <c r="BS25" i="13"/>
  <c r="BT25" i="13"/>
  <c r="BU25" i="13"/>
  <c r="BV25" i="13"/>
  <c r="BM26" i="13"/>
  <c r="BN26" i="13"/>
  <c r="BO26" i="13"/>
  <c r="BP26" i="13"/>
  <c r="BR26" i="13"/>
  <c r="BS26" i="13"/>
  <c r="BT26" i="13"/>
  <c r="BU26" i="13"/>
  <c r="BV26" i="13"/>
  <c r="BM27" i="13"/>
  <c r="BN27" i="13"/>
  <c r="BO27" i="13"/>
  <c r="BP27" i="13"/>
  <c r="BR27" i="13"/>
  <c r="BS27" i="13"/>
  <c r="BT27" i="13"/>
  <c r="BU27" i="13"/>
  <c r="BV27" i="13"/>
  <c r="BM28" i="13"/>
  <c r="BN28" i="13"/>
  <c r="BO28" i="13"/>
  <c r="BP28" i="13"/>
  <c r="BR28" i="13"/>
  <c r="BS28" i="13"/>
  <c r="BT28" i="13"/>
  <c r="BU28" i="13"/>
  <c r="BV28" i="13"/>
  <c r="BM29" i="13"/>
  <c r="BN29" i="13"/>
  <c r="BO29" i="13"/>
  <c r="BP29" i="13"/>
  <c r="BR29" i="13"/>
  <c r="BS29" i="13"/>
  <c r="BT29" i="13"/>
  <c r="BU29" i="13"/>
  <c r="BV29" i="13"/>
  <c r="BM30" i="13"/>
  <c r="BN30" i="13"/>
  <c r="BO30" i="13"/>
  <c r="BP30" i="13"/>
  <c r="BR30" i="13"/>
  <c r="BS30" i="13"/>
  <c r="BT30" i="13"/>
  <c r="BU30" i="13"/>
  <c r="BV30" i="13"/>
  <c r="BM31" i="13"/>
  <c r="BN31" i="13"/>
  <c r="BO31" i="13"/>
  <c r="BP31" i="13"/>
  <c r="BR31" i="13"/>
  <c r="BS31" i="13"/>
  <c r="BT31" i="13"/>
  <c r="BU31" i="13"/>
  <c r="BV31" i="13"/>
  <c r="BM32" i="13"/>
  <c r="BN32" i="13"/>
  <c r="BO32" i="13"/>
  <c r="BP32" i="13"/>
  <c r="BR32" i="13"/>
  <c r="BS32" i="13"/>
  <c r="BT32" i="13"/>
  <c r="BU32" i="13"/>
  <c r="BV32" i="13"/>
  <c r="BQ3" i="13"/>
  <c r="BQ4" i="13"/>
  <c r="BQ5" i="13"/>
  <c r="BQ6" i="13"/>
  <c r="BQ7" i="13"/>
  <c r="BQ8" i="13"/>
  <c r="BQ9" i="13"/>
  <c r="BQ10" i="13"/>
  <c r="BQ11" i="13"/>
  <c r="BQ12" i="13"/>
  <c r="BQ13" i="13"/>
  <c r="BQ14" i="13"/>
  <c r="BQ15" i="13"/>
  <c r="BQ16" i="13"/>
  <c r="BQ17" i="13"/>
  <c r="BQ18" i="13"/>
  <c r="BQ19" i="13"/>
  <c r="BQ20" i="13"/>
  <c r="BQ21" i="13"/>
  <c r="BQ22" i="13"/>
  <c r="BQ23" i="13"/>
  <c r="BQ24" i="13"/>
  <c r="BQ25" i="13"/>
  <c r="BQ26" i="13"/>
  <c r="BQ27" i="13"/>
  <c r="BQ28" i="13"/>
  <c r="BQ29" i="13"/>
  <c r="BQ30" i="13"/>
  <c r="BQ31" i="13"/>
  <c r="BQ32" i="13"/>
  <c r="BL3" i="13"/>
  <c r="BL4" i="13"/>
  <c r="BL5" i="13"/>
  <c r="BL6" i="13"/>
  <c r="BL7" i="13"/>
  <c r="BL8" i="13"/>
  <c r="BL9" i="13"/>
  <c r="BL10" i="13"/>
  <c r="BL11" i="13"/>
  <c r="BL12" i="13"/>
  <c r="BL13" i="13"/>
  <c r="BL14" i="13"/>
  <c r="BL15" i="13"/>
  <c r="BL16" i="13"/>
  <c r="BL17" i="13"/>
  <c r="BL18" i="13"/>
  <c r="BL19" i="13"/>
  <c r="BL20" i="13"/>
  <c r="BL21" i="13"/>
  <c r="BL22" i="13"/>
  <c r="BL23" i="13"/>
  <c r="BL24" i="13"/>
  <c r="BL25" i="13"/>
  <c r="BL26" i="13"/>
  <c r="BL27" i="13"/>
  <c r="BL28" i="13"/>
  <c r="BL29" i="13"/>
  <c r="BL30" i="13"/>
  <c r="BL31" i="13"/>
  <c r="BL32" i="13"/>
  <c r="AP3" i="13"/>
  <c r="AQ3" i="13"/>
  <c r="AR3" i="13"/>
  <c r="AS3" i="13"/>
  <c r="AU3" i="13"/>
  <c r="AV3" i="13"/>
  <c r="AW3" i="13"/>
  <c r="AX3" i="13"/>
  <c r="AY3" i="13"/>
  <c r="AR4" i="13"/>
  <c r="AV4" i="13"/>
  <c r="AW4" i="13"/>
  <c r="AX4" i="13"/>
  <c r="AY4" i="13"/>
  <c r="AP5" i="13"/>
  <c r="AQ5" i="13"/>
  <c r="AR5" i="13"/>
  <c r="AS5" i="13"/>
  <c r="AU5" i="13"/>
  <c r="AV5" i="13"/>
  <c r="AW5" i="13"/>
  <c r="AX5" i="13"/>
  <c r="AY5" i="13"/>
  <c r="AP6" i="13"/>
  <c r="AQ6" i="13"/>
  <c r="AR6" i="13"/>
  <c r="AS6" i="13"/>
  <c r="AU6" i="13"/>
  <c r="AV6" i="13"/>
  <c r="AW6" i="13"/>
  <c r="AX6" i="13"/>
  <c r="AY6" i="13"/>
  <c r="AU7" i="13"/>
  <c r="AR8" i="13"/>
  <c r="AV8" i="13"/>
  <c r="AW8" i="13"/>
  <c r="AX8" i="13"/>
  <c r="AY8" i="13"/>
  <c r="AP9" i="13"/>
  <c r="AQ9" i="13"/>
  <c r="AY9" i="13"/>
  <c r="AP10" i="13"/>
  <c r="AQ10" i="13"/>
  <c r="AR10" i="13"/>
  <c r="AS10" i="13"/>
  <c r="AU10" i="13"/>
  <c r="AV10" i="13"/>
  <c r="AW10" i="13"/>
  <c r="AX10" i="13"/>
  <c r="AY10" i="13"/>
  <c r="AP11" i="13"/>
  <c r="AQ11" i="13"/>
  <c r="AR11" i="13"/>
  <c r="AS11" i="13"/>
  <c r="AU11" i="13"/>
  <c r="AV11" i="13"/>
  <c r="AW11" i="13"/>
  <c r="AX11" i="13"/>
  <c r="AY11" i="13"/>
  <c r="AX12" i="13"/>
  <c r="AP13" i="13"/>
  <c r="AQ13" i="13"/>
  <c r="AV13" i="13"/>
  <c r="AY13" i="13"/>
  <c r="AP14" i="13"/>
  <c r="AQ14" i="13"/>
  <c r="AR14" i="13"/>
  <c r="AS14" i="13"/>
  <c r="AU14" i="13"/>
  <c r="AV14" i="13"/>
  <c r="AW14" i="13"/>
  <c r="AX14" i="13"/>
  <c r="AY14" i="13"/>
  <c r="AR15" i="13"/>
  <c r="AS15" i="13"/>
  <c r="AU15" i="13"/>
  <c r="AV15" i="13"/>
  <c r="AW15" i="13"/>
  <c r="AX15" i="13"/>
  <c r="AP17" i="13"/>
  <c r="AQ17" i="13"/>
  <c r="AR17" i="13"/>
  <c r="AS17" i="13"/>
  <c r="AU17" i="13"/>
  <c r="AV17" i="13"/>
  <c r="AW17" i="13"/>
  <c r="AX17" i="13"/>
  <c r="AY17" i="13"/>
  <c r="AP18" i="13"/>
  <c r="AQ18" i="13"/>
  <c r="AR18" i="13"/>
  <c r="AS18" i="13"/>
  <c r="AU18" i="13"/>
  <c r="AV18" i="13"/>
  <c r="AW18" i="13"/>
  <c r="AX18" i="13"/>
  <c r="AY18" i="13"/>
  <c r="AP19" i="13"/>
  <c r="AQ19" i="13"/>
  <c r="AR19" i="13"/>
  <c r="AS19" i="13"/>
  <c r="AU19" i="13"/>
  <c r="AV19" i="13"/>
  <c r="AW19" i="13"/>
  <c r="AX19" i="13"/>
  <c r="AY19" i="13"/>
  <c r="AC20" i="13"/>
  <c r="AR20" i="13" s="1"/>
  <c r="AQ20" i="13"/>
  <c r="AU20" i="13"/>
  <c r="AV20" i="13"/>
  <c r="AW20" i="13"/>
  <c r="AX20" i="13"/>
  <c r="AY20" i="13"/>
  <c r="AP21" i="13"/>
  <c r="AX21" i="13"/>
  <c r="AY21" i="13"/>
  <c r="AP22" i="13"/>
  <c r="AC23" i="13"/>
  <c r="AW23" i="13" s="1"/>
  <c r="AP23" i="13"/>
  <c r="AQ23" i="13"/>
  <c r="AR23" i="13"/>
  <c r="AS23" i="13"/>
  <c r="AU23" i="13"/>
  <c r="AV23" i="13"/>
  <c r="AP24" i="13"/>
  <c r="AS24" i="13"/>
  <c r="AU24" i="13"/>
  <c r="AV24" i="13"/>
  <c r="AW24" i="13"/>
  <c r="AX24" i="13"/>
  <c r="AY24" i="13"/>
  <c r="AS25" i="13"/>
  <c r="AW25" i="13"/>
  <c r="AX25" i="13"/>
  <c r="AY25" i="13"/>
  <c r="AP26" i="13"/>
  <c r="AQ26" i="13"/>
  <c r="AR26" i="13"/>
  <c r="AS26" i="13"/>
  <c r="AU26" i="13"/>
  <c r="AV26" i="13"/>
  <c r="AW26" i="13"/>
  <c r="AX26" i="13"/>
  <c r="AY26" i="13"/>
  <c r="AP27" i="13"/>
  <c r="AQ27" i="13"/>
  <c r="AR27" i="13"/>
  <c r="AS27" i="13"/>
  <c r="AU27" i="13"/>
  <c r="AV27" i="13"/>
  <c r="AW27" i="13"/>
  <c r="AX27" i="13"/>
  <c r="AY27" i="13"/>
  <c r="AP28" i="13"/>
  <c r="AQ28" i="13"/>
  <c r="AR28" i="13"/>
  <c r="AS28" i="13"/>
  <c r="AU28" i="13"/>
  <c r="AV28" i="13"/>
  <c r="AW28" i="13"/>
  <c r="AX28" i="13"/>
  <c r="AY28" i="13"/>
  <c r="AW29" i="13"/>
  <c r="AX29" i="13"/>
  <c r="AY29" i="13"/>
  <c r="AC30" i="13"/>
  <c r="AW30" i="13" s="1"/>
  <c r="AC31" i="13"/>
  <c r="AY31" i="13" s="1"/>
  <c r="AP31" i="13"/>
  <c r="AQ31" i="13"/>
  <c r="AR31" i="13"/>
  <c r="AC32" i="13"/>
  <c r="AW32" i="13" s="1"/>
  <c r="AP32" i="13"/>
  <c r="AQ32" i="13"/>
  <c r="AR32" i="13"/>
  <c r="AS32" i="13"/>
  <c r="AU32" i="13"/>
  <c r="AV32" i="13"/>
  <c r="AO9" i="13"/>
  <c r="AT3" i="13"/>
  <c r="AT4" i="13"/>
  <c r="AT5" i="13"/>
  <c r="AT6" i="13"/>
  <c r="AT7" i="13"/>
  <c r="AT8" i="13"/>
  <c r="AT9" i="13"/>
  <c r="AT10" i="13"/>
  <c r="AT11" i="13"/>
  <c r="AT14" i="13"/>
  <c r="AT15" i="13"/>
  <c r="AT17" i="13"/>
  <c r="AT18" i="13"/>
  <c r="AT19" i="13"/>
  <c r="AT20" i="13"/>
  <c r="AT21" i="13"/>
  <c r="AT23" i="13"/>
  <c r="AT25" i="13"/>
  <c r="AT26" i="13"/>
  <c r="AT27" i="13"/>
  <c r="AT28" i="13"/>
  <c r="AT29" i="13"/>
  <c r="AT31" i="13"/>
  <c r="AT32" i="13"/>
  <c r="AO3" i="13"/>
  <c r="AO4" i="13"/>
  <c r="AO5" i="13"/>
  <c r="AO6" i="13"/>
  <c r="AO8" i="13"/>
  <c r="AO10" i="13"/>
  <c r="AO11" i="13"/>
  <c r="AO13" i="13"/>
  <c r="AO14" i="13"/>
  <c r="AO15" i="13"/>
  <c r="AO17" i="13"/>
  <c r="AO18" i="13"/>
  <c r="AO19" i="13"/>
  <c r="AO20" i="13"/>
  <c r="AO23" i="13"/>
  <c r="AO24" i="13"/>
  <c r="AO25" i="13"/>
  <c r="AO26" i="13"/>
  <c r="AO27" i="13"/>
  <c r="AO28" i="13"/>
  <c r="AO32" i="13"/>
  <c r="AB4" i="13"/>
  <c r="AB5" i="13"/>
  <c r="AB6" i="13"/>
  <c r="AB7" i="13"/>
  <c r="AB8" i="13"/>
  <c r="AB9" i="13"/>
  <c r="AB10" i="13"/>
  <c r="AB11" i="13"/>
  <c r="AB21" i="13"/>
  <c r="AB22" i="13"/>
  <c r="AB23" i="13"/>
  <c r="AB12" i="13"/>
  <c r="AB13" i="13"/>
  <c r="AB14" i="13"/>
  <c r="AB15" i="13"/>
  <c r="AB16" i="13"/>
  <c r="AB17" i="13"/>
  <c r="AB18" i="13"/>
  <c r="AB19" i="13"/>
  <c r="AB20" i="13"/>
  <c r="AB24" i="13"/>
  <c r="AB25" i="13"/>
  <c r="AB26" i="13"/>
  <c r="AB27" i="13"/>
  <c r="AB28" i="13"/>
  <c r="AB29" i="13"/>
  <c r="AB3" i="13"/>
  <c r="AA12" i="13"/>
  <c r="AA3" i="13"/>
  <c r="AA4" i="13"/>
  <c r="AA5" i="13"/>
  <c r="AA6" i="13"/>
  <c r="AA7" i="13"/>
  <c r="AA8" i="13"/>
  <c r="AA9" i="13"/>
  <c r="AA10" i="13"/>
  <c r="AA11" i="13"/>
  <c r="AA13" i="13"/>
  <c r="AA14" i="13"/>
  <c r="AA15" i="13"/>
  <c r="AA16" i="13"/>
  <c r="AA17" i="13"/>
  <c r="AA24" i="13"/>
  <c r="AA25" i="13"/>
  <c r="AA26" i="13"/>
  <c r="X4" i="13"/>
  <c r="X5" i="13"/>
  <c r="X6" i="13"/>
  <c r="X7" i="13"/>
  <c r="X8" i="13"/>
  <c r="X9" i="13"/>
  <c r="X10" i="13"/>
  <c r="X11" i="13"/>
  <c r="X21" i="13"/>
  <c r="X22" i="13"/>
  <c r="X23" i="13"/>
  <c r="X12" i="13"/>
  <c r="X13" i="13"/>
  <c r="X14" i="13"/>
  <c r="X15" i="13"/>
  <c r="X16" i="13"/>
  <c r="X17" i="13"/>
  <c r="X18" i="13"/>
  <c r="X19" i="13"/>
  <c r="X20" i="13"/>
  <c r="X24" i="13"/>
  <c r="X25" i="13"/>
  <c r="X26" i="13"/>
  <c r="X27" i="13"/>
  <c r="X28" i="13"/>
  <c r="X29" i="13"/>
  <c r="X30" i="13"/>
  <c r="X31" i="13"/>
  <c r="X32" i="13"/>
  <c r="W4" i="13"/>
  <c r="W5" i="13"/>
  <c r="W6" i="13"/>
  <c r="W7" i="13"/>
  <c r="W8" i="13"/>
  <c r="W9" i="13"/>
  <c r="W10" i="13"/>
  <c r="W11" i="13"/>
  <c r="W21" i="13"/>
  <c r="W22" i="13"/>
  <c r="W23" i="13"/>
  <c r="W12" i="13"/>
  <c r="W13" i="13"/>
  <c r="W14" i="13"/>
  <c r="W15" i="13"/>
  <c r="W16" i="13"/>
  <c r="W17" i="13"/>
  <c r="W18" i="13"/>
  <c r="W19" i="13"/>
  <c r="W20" i="13"/>
  <c r="W24" i="13"/>
  <c r="W25" i="13"/>
  <c r="W26" i="13"/>
  <c r="W27" i="13"/>
  <c r="W28" i="13"/>
  <c r="W29" i="13"/>
  <c r="W30" i="13"/>
  <c r="W31" i="13"/>
  <c r="W32" i="13"/>
  <c r="V4" i="13"/>
  <c r="V5" i="13"/>
  <c r="V6" i="13"/>
  <c r="V7" i="13"/>
  <c r="V8" i="13"/>
  <c r="V9" i="13"/>
  <c r="V10" i="13"/>
  <c r="V11" i="13"/>
  <c r="V21" i="13"/>
  <c r="V22" i="13"/>
  <c r="V23" i="13"/>
  <c r="V12" i="13"/>
  <c r="V13" i="13"/>
  <c r="V14" i="13"/>
  <c r="V15" i="13"/>
  <c r="V16" i="13"/>
  <c r="V17" i="13"/>
  <c r="V18" i="13"/>
  <c r="V19" i="13"/>
  <c r="V20" i="13"/>
  <c r="V24" i="13"/>
  <c r="V25" i="13"/>
  <c r="V26" i="13"/>
  <c r="V27" i="13"/>
  <c r="V28" i="13"/>
  <c r="V29" i="13"/>
  <c r="V30" i="13"/>
  <c r="V31" i="13"/>
  <c r="V32" i="13"/>
  <c r="U4" i="13"/>
  <c r="U5" i="13"/>
  <c r="U6" i="13"/>
  <c r="U7" i="13"/>
  <c r="U8" i="13"/>
  <c r="U9" i="13"/>
  <c r="U10" i="13"/>
  <c r="U11" i="13"/>
  <c r="U21" i="13"/>
  <c r="U22" i="13"/>
  <c r="U23" i="13"/>
  <c r="U12" i="13"/>
  <c r="U13" i="13"/>
  <c r="U14" i="13"/>
  <c r="U15" i="13"/>
  <c r="U16" i="13"/>
  <c r="U17" i="13"/>
  <c r="U18" i="13"/>
  <c r="U19" i="13"/>
  <c r="U20" i="13"/>
  <c r="U24" i="13"/>
  <c r="U25" i="13"/>
  <c r="U26" i="13"/>
  <c r="U27" i="13"/>
  <c r="U28" i="13"/>
  <c r="U29" i="13"/>
  <c r="U30" i="13"/>
  <c r="U31" i="13"/>
  <c r="U32" i="13"/>
  <c r="T4" i="13"/>
  <c r="T5" i="13"/>
  <c r="T6" i="13"/>
  <c r="T7" i="13"/>
  <c r="T8" i="13"/>
  <c r="T9" i="13"/>
  <c r="T10" i="13"/>
  <c r="T11" i="13"/>
  <c r="T21" i="13"/>
  <c r="T22" i="13"/>
  <c r="T23" i="13"/>
  <c r="T12" i="13"/>
  <c r="T13" i="13"/>
  <c r="T14" i="13"/>
  <c r="T15" i="13"/>
  <c r="T16" i="13"/>
  <c r="T17" i="13"/>
  <c r="T18" i="13"/>
  <c r="T19" i="13"/>
  <c r="T20" i="13"/>
  <c r="T24" i="13"/>
  <c r="T25" i="13"/>
  <c r="T26" i="13"/>
  <c r="T27" i="13"/>
  <c r="T28" i="13"/>
  <c r="T29" i="13"/>
  <c r="T30" i="13"/>
  <c r="T31" i="13"/>
  <c r="T32" i="13"/>
  <c r="S4" i="13"/>
  <c r="S5" i="13"/>
  <c r="S6" i="13"/>
  <c r="S7" i="13"/>
  <c r="S8" i="13"/>
  <c r="S9" i="13"/>
  <c r="S10" i="13"/>
  <c r="S11" i="13"/>
  <c r="S21" i="13"/>
  <c r="S22" i="13"/>
  <c r="S23" i="13"/>
  <c r="S12" i="13"/>
  <c r="S13" i="13"/>
  <c r="S14" i="13"/>
  <c r="S15" i="13"/>
  <c r="S16" i="13"/>
  <c r="S17" i="13"/>
  <c r="S18" i="13"/>
  <c r="S19" i="13"/>
  <c r="S20" i="13"/>
  <c r="S24" i="13"/>
  <c r="S25" i="13"/>
  <c r="S26" i="13"/>
  <c r="S27" i="13"/>
  <c r="S28" i="13"/>
  <c r="S29" i="13"/>
  <c r="S30" i="13"/>
  <c r="S31" i="13"/>
  <c r="S32" i="13"/>
  <c r="S3" i="13"/>
  <c r="T3" i="13"/>
  <c r="U3" i="13"/>
  <c r="V3" i="13"/>
  <c r="W3" i="13"/>
  <c r="X3" i="13"/>
  <c r="J3" i="13"/>
  <c r="J29" i="13"/>
  <c r="I30" i="13"/>
  <c r="I31" i="13"/>
  <c r="I32" i="13"/>
  <c r="G30" i="13"/>
  <c r="G31" i="13"/>
  <c r="G32" i="13"/>
  <c r="E31" i="13"/>
  <c r="E30" i="13"/>
  <c r="E32" i="13"/>
  <c r="J28" i="13"/>
  <c r="J27" i="13"/>
  <c r="J26" i="13"/>
  <c r="J25" i="13"/>
  <c r="J24" i="13"/>
  <c r="J20" i="13"/>
  <c r="J19" i="13"/>
  <c r="J18" i="13"/>
  <c r="J17" i="13"/>
  <c r="J16" i="13"/>
  <c r="J15" i="13"/>
  <c r="J14" i="13"/>
  <c r="J13" i="13"/>
  <c r="J12" i="13"/>
  <c r="J23" i="13"/>
  <c r="J22" i="13"/>
  <c r="J21" i="13"/>
  <c r="J11" i="13"/>
  <c r="J10" i="13"/>
  <c r="J9" i="13"/>
  <c r="J8" i="13"/>
  <c r="J7" i="13"/>
  <c r="J6" i="13"/>
  <c r="J5" i="13"/>
  <c r="J4" i="13"/>
  <c r="I29" i="13"/>
  <c r="G29" i="13"/>
  <c r="E29" i="13"/>
  <c r="I28" i="13"/>
  <c r="G28" i="13"/>
  <c r="E28" i="13"/>
  <c r="I27" i="13"/>
  <c r="G27" i="13"/>
  <c r="E27" i="13"/>
  <c r="G3" i="13"/>
  <c r="G4" i="13"/>
  <c r="G5" i="13"/>
  <c r="G6" i="13"/>
  <c r="G7" i="13"/>
  <c r="G8" i="13"/>
  <c r="G9" i="13"/>
  <c r="G10" i="13"/>
  <c r="G11" i="13"/>
  <c r="G21" i="13"/>
  <c r="G22" i="13"/>
  <c r="G23" i="13"/>
  <c r="G12" i="13"/>
  <c r="G13" i="13"/>
  <c r="G14" i="13"/>
  <c r="G15" i="13"/>
  <c r="G16" i="13"/>
  <c r="G17" i="13"/>
  <c r="G18" i="13"/>
  <c r="G19" i="13"/>
  <c r="G20" i="13"/>
  <c r="G24" i="13"/>
  <c r="G25" i="13"/>
  <c r="G26" i="13"/>
  <c r="E3" i="13"/>
  <c r="E4" i="13"/>
  <c r="E5" i="13"/>
  <c r="E6" i="13"/>
  <c r="E7" i="13"/>
  <c r="E8" i="13"/>
  <c r="E9" i="13"/>
  <c r="E10" i="13"/>
  <c r="E11" i="13"/>
  <c r="E21" i="13"/>
  <c r="E22" i="13"/>
  <c r="E23" i="13"/>
  <c r="E12" i="13"/>
  <c r="E13" i="13"/>
  <c r="E14" i="13"/>
  <c r="E15" i="13"/>
  <c r="E16" i="13"/>
  <c r="E17" i="13"/>
  <c r="E18" i="13"/>
  <c r="E19" i="13"/>
  <c r="E20" i="13"/>
  <c r="E24" i="13"/>
  <c r="E25" i="13"/>
  <c r="E26" i="13"/>
  <c r="I4" i="13"/>
  <c r="I5" i="13"/>
  <c r="I6" i="13"/>
  <c r="I7" i="13"/>
  <c r="I8" i="13"/>
  <c r="I9" i="13"/>
  <c r="I10" i="13"/>
  <c r="I11" i="13"/>
  <c r="I21" i="13"/>
  <c r="I22" i="13"/>
  <c r="I23" i="13"/>
  <c r="I12" i="13"/>
  <c r="I13" i="13"/>
  <c r="I14" i="13"/>
  <c r="I15" i="13"/>
  <c r="I16" i="13"/>
  <c r="I17" i="13"/>
  <c r="I18" i="13"/>
  <c r="I19" i="13"/>
  <c r="I20" i="13"/>
  <c r="I24" i="13"/>
  <c r="I25" i="13"/>
  <c r="I26" i="13"/>
  <c r="BC39" i="19"/>
  <c r="AU19" i="19" l="1"/>
  <c r="BA19" i="19"/>
  <c r="BU20" i="19"/>
  <c r="BV19" i="19"/>
  <c r="AU33" i="19"/>
  <c r="AV33" i="19"/>
  <c r="CB36" i="19"/>
  <c r="CA36" i="19"/>
  <c r="AU6" i="19"/>
  <c r="AV6" i="19"/>
  <c r="BV38" i="19"/>
  <c r="BU38" i="19"/>
  <c r="BB38" i="19"/>
  <c r="BA38" i="19"/>
  <c r="BB31" i="19"/>
  <c r="BA31" i="19"/>
  <c r="BV23" i="19"/>
  <c r="BU23" i="19"/>
  <c r="CA37" i="19"/>
  <c r="CB37" i="19"/>
  <c r="BA28" i="19"/>
  <c r="BB28" i="19"/>
  <c r="BV24" i="19"/>
  <c r="BU24" i="19"/>
  <c r="BV3" i="19"/>
  <c r="BU3" i="19"/>
  <c r="AV8" i="19"/>
  <c r="AU8" i="19"/>
  <c r="AV9" i="19"/>
  <c r="AU9" i="19"/>
  <c r="BV4" i="19"/>
  <c r="BU4" i="19"/>
  <c r="BU26" i="19"/>
  <c r="BU18" i="19"/>
  <c r="BV41" i="19"/>
  <c r="P40" i="19"/>
  <c r="N36" i="19"/>
  <c r="CC37" i="19"/>
  <c r="AU30" i="19"/>
  <c r="AV29" i="19"/>
  <c r="CC3" i="19"/>
  <c r="P39" i="19"/>
  <c r="T38" i="19"/>
  <c r="N10" i="19"/>
  <c r="BQ4" i="19"/>
  <c r="CE4" i="19" s="1"/>
  <c r="AF39" i="19"/>
  <c r="AF15" i="19"/>
  <c r="BA34" i="19"/>
  <c r="T23" i="19"/>
  <c r="AU27" i="19"/>
  <c r="BY24" i="19"/>
  <c r="CB33" i="19"/>
  <c r="AF6" i="19"/>
  <c r="AU38" i="19"/>
  <c r="BF22" i="19"/>
  <c r="AU28" i="19"/>
  <c r="AV41" i="19"/>
  <c r="AV23" i="19"/>
  <c r="CG3" i="19"/>
  <c r="X11" i="19"/>
  <c r="BA29" i="19"/>
  <c r="BT3" i="19"/>
  <c r="CA34" i="19"/>
  <c r="CB3" i="19"/>
  <c r="AE18" i="19"/>
  <c r="BV21" i="19"/>
  <c r="BZ3" i="19"/>
  <c r="AU22" i="19"/>
  <c r="AY9" i="19"/>
  <c r="AU17" i="19"/>
  <c r="T30" i="19"/>
  <c r="BU5" i="19"/>
  <c r="BA17" i="19"/>
  <c r="CF3" i="19"/>
  <c r="BI7" i="19"/>
  <c r="BU7" i="19" s="1"/>
  <c r="N26" i="19"/>
  <c r="AO21" i="13"/>
  <c r="AX31" i="13"/>
  <c r="AV30" i="13"/>
  <c r="AS29" i="13"/>
  <c r="AX22" i="13"/>
  <c r="AU21" i="13"/>
  <c r="AR16" i="13"/>
  <c r="AR12" i="13"/>
  <c r="AV9" i="13"/>
  <c r="AT13" i="19"/>
  <c r="AU16" i="19"/>
  <c r="CA27" i="19"/>
  <c r="BI8" i="19"/>
  <c r="AV16" i="13"/>
  <c r="AO7" i="13"/>
  <c r="AT13" i="13"/>
  <c r="AY32" i="13"/>
  <c r="AW31" i="13"/>
  <c r="AU30" i="13"/>
  <c r="AR29" i="13"/>
  <c r="AR25" i="13"/>
  <c r="AY23" i="13"/>
  <c r="AW22" i="13"/>
  <c r="AS21" i="13"/>
  <c r="AP20" i="13"/>
  <c r="AQ16" i="13"/>
  <c r="AU13" i="13"/>
  <c r="AQ12" i="13"/>
  <c r="AU9" i="13"/>
  <c r="AQ8" i="13"/>
  <c r="AQ4" i="13"/>
  <c r="BA40" i="19"/>
  <c r="BA24" i="19"/>
  <c r="AV12" i="13"/>
  <c r="AO31" i="13"/>
  <c r="AT24" i="13"/>
  <c r="AT12" i="13"/>
  <c r="AX32" i="13"/>
  <c r="AV31" i="13"/>
  <c r="AS30" i="13"/>
  <c r="AQ29" i="13"/>
  <c r="AQ25" i="13"/>
  <c r="AX23" i="13"/>
  <c r="AV22" i="13"/>
  <c r="AR21" i="13"/>
  <c r="AP16" i="13"/>
  <c r="AS13" i="13"/>
  <c r="AP12" i="13"/>
  <c r="AS9" i="13"/>
  <c r="AP8" i="13"/>
  <c r="AP4" i="13"/>
  <c r="BA14" i="19"/>
  <c r="BI6" i="19"/>
  <c r="AO30" i="13"/>
  <c r="AU31" i="13"/>
  <c r="AR30" i="13"/>
  <c r="AP29" i="13"/>
  <c r="AP25" i="13"/>
  <c r="AU22" i="13"/>
  <c r="AQ21" i="13"/>
  <c r="AY15" i="13"/>
  <c r="AR13" i="13"/>
  <c r="AR9" i="13"/>
  <c r="AY7" i="13"/>
  <c r="AU18" i="19"/>
  <c r="BA22" i="19"/>
  <c r="AO29" i="13"/>
  <c r="AT22" i="13"/>
  <c r="AS31" i="13"/>
  <c r="AQ30" i="13"/>
  <c r="AS22" i="13"/>
  <c r="AX7" i="13"/>
  <c r="AT20" i="19"/>
  <c r="AT36" i="19"/>
  <c r="AT25" i="19"/>
  <c r="AT37" i="19"/>
  <c r="AT27" i="19"/>
  <c r="BB26" i="19"/>
  <c r="CB7" i="19"/>
  <c r="AO16" i="13"/>
  <c r="AP30" i="13"/>
  <c r="AR22" i="13"/>
  <c r="AW7" i="13"/>
  <c r="AU20" i="19"/>
  <c r="BU31" i="19"/>
  <c r="BV36" i="19"/>
  <c r="AQ22" i="13"/>
  <c r="AY16" i="13"/>
  <c r="AY12" i="13"/>
  <c r="AV7" i="13"/>
  <c r="AT19" i="19"/>
  <c r="AT34" i="19"/>
  <c r="AT24" i="19"/>
  <c r="AT28" i="19"/>
  <c r="AT5" i="19"/>
  <c r="AT30" i="13"/>
  <c r="AW16" i="13"/>
  <c r="AW12" i="13"/>
  <c r="AS7" i="13"/>
  <c r="AT41" i="19"/>
  <c r="AT33" i="19"/>
  <c r="BA30" i="19"/>
  <c r="AT21" i="19"/>
  <c r="AV7" i="19"/>
  <c r="AO12" i="13"/>
  <c r="AY30" i="13"/>
  <c r="AT16" i="13"/>
  <c r="AX30" i="13"/>
  <c r="AV29" i="13"/>
  <c r="AV25" i="13"/>
  <c r="AR24" i="13"/>
  <c r="AW21" i="13"/>
  <c r="AS20" i="13"/>
  <c r="AU16" i="13"/>
  <c r="AQ15" i="13"/>
  <c r="AX13" i="13"/>
  <c r="AU12" i="13"/>
  <c r="AX9" i="13"/>
  <c r="AU8" i="13"/>
  <c r="AQ7" i="13"/>
  <c r="AU4" i="13"/>
  <c r="AT10" i="19"/>
  <c r="AX16" i="13"/>
  <c r="AR7" i="13"/>
  <c r="AO22" i="13"/>
  <c r="BV7" i="19" l="1"/>
  <c r="BV6" i="19"/>
  <c r="BU6" i="19"/>
  <c r="BV8" i="19"/>
  <c r="BU8" i="19"/>
</calcChain>
</file>

<file path=xl/sharedStrings.xml><?xml version="1.0" encoding="utf-8"?>
<sst xmlns="http://schemas.openxmlformats.org/spreadsheetml/2006/main" count="973" uniqueCount="429">
  <si>
    <t>country</t>
  </si>
  <si>
    <t>gdp</t>
  </si>
  <si>
    <t>population</t>
  </si>
  <si>
    <t>pricon_total</t>
  </si>
  <si>
    <t>pricon_coal</t>
  </si>
  <si>
    <t>pricon_coal_pc</t>
  </si>
  <si>
    <t>pricon_gas</t>
  </si>
  <si>
    <t>gen_total</t>
  </si>
  <si>
    <t>gen_coal</t>
  </si>
  <si>
    <t>gen_coal_pc</t>
  </si>
  <si>
    <t>gen_gas</t>
  </si>
  <si>
    <t>gen_oil</t>
  </si>
  <si>
    <t>gen_oil_pc</t>
  </si>
  <si>
    <t>gen_gas_pc</t>
  </si>
  <si>
    <t>gen_nuc</t>
  </si>
  <si>
    <t>gen_h2o_pc</t>
  </si>
  <si>
    <t>gen_nuc_pc</t>
  </si>
  <si>
    <t>gen_h2o</t>
  </si>
  <si>
    <t>gen_other</t>
  </si>
  <si>
    <t>gen_other_pc</t>
  </si>
  <si>
    <t>spc</t>
  </si>
  <si>
    <t>ic_total</t>
  </si>
  <si>
    <t>ic_oil</t>
  </si>
  <si>
    <t>ic_gas</t>
  </si>
  <si>
    <t>ic_coal</t>
  </si>
  <si>
    <t>ic_nuc</t>
  </si>
  <si>
    <t>ic_h2o</t>
  </si>
  <si>
    <t>ic_other</t>
  </si>
  <si>
    <t>ic_oil_pc</t>
  </si>
  <si>
    <t>ic_gas_pc</t>
  </si>
  <si>
    <t>ic_coal_pc</t>
  </si>
  <si>
    <t>ic_nuc_pc</t>
  </si>
  <si>
    <t>ic_h2o_pc</t>
  </si>
  <si>
    <t>pricon_oil</t>
  </si>
  <si>
    <t>pricon_nuc</t>
  </si>
  <si>
    <t>pricon_h2o</t>
  </si>
  <si>
    <t>pricon_oil_pc</t>
  </si>
  <si>
    <t>pricon_gas_pc</t>
  </si>
  <si>
    <t>pricon_nuc_pc</t>
  </si>
  <si>
    <t>pricon_h2o_pc</t>
  </si>
  <si>
    <t>year</t>
  </si>
  <si>
    <t>spc_long</t>
  </si>
  <si>
    <t>China Energy Investment Corporation</t>
  </si>
  <si>
    <t>China Huaneng Group</t>
  </si>
  <si>
    <t>State Power Investment Corporation</t>
  </si>
  <si>
    <t>China Huadian Corporation</t>
  </si>
  <si>
    <t>China Datang Corporation</t>
  </si>
  <si>
    <t>National Thermal Power Corporation Limited</t>
  </si>
  <si>
    <t xml:space="preserve">Korea Electric Power Corporation </t>
  </si>
  <si>
    <t>Perusahaan Listrik Negara</t>
  </si>
  <si>
    <t>Elektrik Üretim A.Ş.</t>
  </si>
  <si>
    <t>Polska Grupa Energetyczna S.A.</t>
  </si>
  <si>
    <t>Eskom Holdings SOC Limited</t>
  </si>
  <si>
    <t>Comisión Federal de Electricidad</t>
  </si>
  <si>
    <t>ic_total_nationpc</t>
  </si>
  <si>
    <t>gen_total_nationpc</t>
  </si>
  <si>
    <t>employee</t>
  </si>
  <si>
    <t>revenue_local</t>
  </si>
  <si>
    <t>revenue_usd</t>
  </si>
  <si>
    <t>ic_wind</t>
  </si>
  <si>
    <t>ic_solar</t>
  </si>
  <si>
    <t>pricon_re</t>
  </si>
  <si>
    <t>pricon_re_pc</t>
  </si>
  <si>
    <t>ic_re</t>
  </si>
  <si>
    <t>ic_re_pc</t>
  </si>
  <si>
    <t>gen_re</t>
  </si>
  <si>
    <t>gen_re_pc</t>
  </si>
  <si>
    <t>ic_wind_pc</t>
  </si>
  <si>
    <t>ic_solar_pc</t>
  </si>
  <si>
    <t>gen_wind</t>
  </si>
  <si>
    <t>gen_solar</t>
  </si>
  <si>
    <t>gen_wind_pc</t>
  </si>
  <si>
    <t>gen_solar_pc</t>
  </si>
  <si>
    <t>-</t>
  </si>
  <si>
    <t>Exajoules</t>
  </si>
  <si>
    <t>million tonnes</t>
  </si>
  <si>
    <t>percent</t>
  </si>
  <si>
    <t>million US dollars</t>
  </si>
  <si>
    <t>Terawatt-hours</t>
  </si>
  <si>
    <t>Gigawatts</t>
  </si>
  <si>
    <t>ebit_local</t>
  </si>
  <si>
    <t>ebit_usd</t>
  </si>
  <si>
    <t>op_margin</t>
  </si>
  <si>
    <t>ic_fossil</t>
  </si>
  <si>
    <t>ic_fossil_nationpc</t>
  </si>
  <si>
    <t>Ember</t>
  </si>
  <si>
    <t>Code</t>
  </si>
  <si>
    <t>Unit</t>
  </si>
  <si>
    <t>Description</t>
  </si>
  <si>
    <t>World Bank</t>
  </si>
  <si>
    <t>Thailand</t>
  </si>
  <si>
    <t>EGAT</t>
  </si>
  <si>
    <t>Electricity Generating Authority of Thailand</t>
  </si>
  <si>
    <t>ic_other_pc</t>
  </si>
  <si>
    <t>pro_coal</t>
  </si>
  <si>
    <t>gen_fossil</t>
  </si>
  <si>
    <t>gen_fossil_pc</t>
  </si>
  <si>
    <t>gen_fossil_nationpc</t>
  </si>
  <si>
    <t>gen_re_nationpc</t>
  </si>
  <si>
    <t>ic_re_nationpc</t>
  </si>
  <si>
    <t>net_profit_local</t>
  </si>
  <si>
    <t>liability_local</t>
  </si>
  <si>
    <t>asset_local</t>
  </si>
  <si>
    <t>ic_other_fossil</t>
  </si>
  <si>
    <t>ic_other_fossil_pc</t>
  </si>
  <si>
    <t>ic_fossil_pc</t>
  </si>
  <si>
    <t>gen_other_fossil</t>
  </si>
  <si>
    <t>gen_other_fossil_pc</t>
  </si>
  <si>
    <t>exchange_rate_usd</t>
  </si>
  <si>
    <t>SPC</t>
  </si>
  <si>
    <t>equity_local</t>
  </si>
  <si>
    <t>equity_usd</t>
  </si>
  <si>
    <t>net_profit_usd</t>
  </si>
  <si>
    <t>Latest update</t>
  </si>
  <si>
    <t>Please cite as</t>
  </si>
  <si>
    <t>Disclaimer</t>
  </si>
  <si>
    <t>Visit our website for data documentation, additional resources and updates:</t>
  </si>
  <si>
    <t>All rights reserved to Agora Energiewende. The use of the methods and results are only authorised in case Agora Energiewende are properly cited.</t>
  </si>
  <si>
    <t>Website_Link</t>
  </si>
  <si>
    <t>Imprint</t>
  </si>
  <si>
    <t>Sheet: Country_data</t>
  </si>
  <si>
    <t>Sheet: SPC_data</t>
  </si>
  <si>
    <t>Link</t>
  </si>
  <si>
    <t>https://www.chng.com.cn/list_kcxfz/-/article/8t6e3nhnvcL9/list/23324.html</t>
  </si>
  <si>
    <t>https://ntpc.co.in/investors/annual-reports</t>
  </si>
  <si>
    <t>https://home.kepco.co.kr/kepco/EN/ntcob/list.do?boardCd=BRD_000259&amp;menuCd=EN030201</t>
  </si>
  <si>
    <t>https://ember-climate.org/data/data-tools/data-explorer/</t>
  </si>
  <si>
    <t>https://www.energyinst.org/statistical-review/resources-and-data-downloads</t>
  </si>
  <si>
    <t>https://web.pln.co.id/en/stakeholders/annual-reports</t>
  </si>
  <si>
    <t xml:space="preserve"> </t>
  </si>
  <si>
    <t xml:space="preserve">https://data.worldbank.org/indicator/NY.GDP.MKTP.CD  </t>
  </si>
  <si>
    <t xml:space="preserve">https://data.worldbank.org/indicator/SP.POP.TOTL </t>
  </si>
  <si>
    <t>Remark</t>
  </si>
  <si>
    <t>co2_power_fossil</t>
  </si>
  <si>
    <t>co2_power_world_pc</t>
  </si>
  <si>
    <t>co2_total</t>
  </si>
  <si>
    <t>co2_power_total_pc</t>
  </si>
  <si>
    <t>gdp_capita</t>
  </si>
  <si>
    <t>co2_capita</t>
  </si>
  <si>
    <t>electrification_pc</t>
  </si>
  <si>
    <t>Energy Institute</t>
  </si>
  <si>
    <t>Enerdata</t>
  </si>
  <si>
    <t>https://yearbook.enerdata.net/electricity/share-electricity-final-consumption.html</t>
  </si>
  <si>
    <t>https://yearbook.enerdata.net/</t>
  </si>
  <si>
    <t>pro_gas</t>
  </si>
  <si>
    <t>depend_coal_pc</t>
  </si>
  <si>
    <t>depend_gas_pc</t>
  </si>
  <si>
    <t>Power sector CO2 emissions from fossil fuels, 
Installed capacity of electricity generation by energy source, 
Electricity generation by energy source
Last access on 14/08/2024</t>
  </si>
  <si>
    <t>Electrification rate by country
Last access on 13/08/2024</t>
  </si>
  <si>
    <t>Electrification rate world
Last access on 13/08/2024</t>
  </si>
  <si>
    <t>CO2 emissions,
Primary consumption by energy source,
Fossil gas production,
Coal production
Last access on 14/08/2024</t>
  </si>
  <si>
    <t>GDP dataset last updated on 28/06/2024</t>
  </si>
  <si>
    <t>Population dataset last updated on 28/06/2025</t>
  </si>
  <si>
    <t>ic_other_re_pc</t>
  </si>
  <si>
    <t>ic_bio_pc</t>
  </si>
  <si>
    <t>ic_bio</t>
  </si>
  <si>
    <t>ic_other_re</t>
  </si>
  <si>
    <t>gen_other_re_pc</t>
  </si>
  <si>
    <t>gen_bio_pc</t>
  </si>
  <si>
    <t>gen_other_re</t>
  </si>
  <si>
    <t>gen_bio</t>
  </si>
  <si>
    <t>generation</t>
  </si>
  <si>
    <t xml:space="preserve">transmission </t>
  </si>
  <si>
    <t xml:space="preserve">distribution </t>
  </si>
  <si>
    <t>https://www.cspengyuan.com/pengyuancmscn/rating-announcement/rating-infor/20240423153336520/20240423153344416/20240423153400609/%E5%9B%BD%E5%AE%B6%E8%83%BD%E6%BA%90%E9%9B%86%E5%9B%A2%E4%B8%BB%E4%BD%93%E8%AF%84%E7%BA%A7.pdf</t>
  </si>
  <si>
    <t>https://www.ceic.com/gjnyjtww/jtgsbg/chnlist_shzr.shtml</t>
  </si>
  <si>
    <t>https://www.china-cdt.com/dtwz/showNewsListForSiteControlAction!showNewsList.action?site=dtwz_site&amp;program=xxgk_shzr_shzrbg</t>
  </si>
  <si>
    <t>http://www.spic.com.cn/2021/shzr/</t>
  </si>
  <si>
    <t>State Power Investment Corporation
Social responsibility reports</t>
  </si>
  <si>
    <t>National Thermal Power Corporation Limited
Annual reports</t>
  </si>
  <si>
    <t>https://ntpc.co.in/investors/financial-results</t>
  </si>
  <si>
    <t>National Thermal Power Corporation Limited
Financial results</t>
  </si>
  <si>
    <t>BBB</t>
  </si>
  <si>
    <t>Perusahaan Listrik Negara
Annual reports</t>
  </si>
  <si>
    <t>Comisión Federal de Electricidad
Annual reports</t>
  </si>
  <si>
    <t>https://www.cfe.mx/finanzas/reportes-financieros/pages/informes-anuales.aspx</t>
  </si>
  <si>
    <t>https://home.kepco.co.kr/kepco/EN/D/C/KEDCPP004.do?boardCd=BRD_000014&amp;menuCd=EN04010601</t>
  </si>
  <si>
    <t>Korea Electric Power Corporation 
Sustainability reports</t>
  </si>
  <si>
    <t>Korea Electric Power Corporation 
Audit reports</t>
  </si>
  <si>
    <t>https://www.egat.co.th/home/en/annual-report/</t>
  </si>
  <si>
    <t>Electricity Generating Authority of Thailand
Annual reports</t>
  </si>
  <si>
    <t>rating_fitch</t>
  </si>
  <si>
    <t>BBB+</t>
  </si>
  <si>
    <t xml:space="preserve">https://www.gkpge.pl/en/for-investors/shares/financial-data </t>
  </si>
  <si>
    <t xml:space="preserve">Polska Grupa Energetyczna S.A.
Management Board reports
Consolidated financial statements </t>
  </si>
  <si>
    <t>Elektrik Üretim A.Ş.
Annual activity reports</t>
  </si>
  <si>
    <t>https://web.pln.co.id/en/stakeholders/statistical-report</t>
  </si>
  <si>
    <t>Perusahaan Listrik Negara
Statistical reports</t>
  </si>
  <si>
    <t>https://www.sse.com.cn/disclosure/bond/announcement/corporate/c/new/2024-06-28/124720_20240628_SMM2.pdf</t>
  </si>
  <si>
    <t>https://www.lhratings.com/announcement/projectDetail.html?pid=180d5ec2ab9</t>
  </si>
  <si>
    <t>https://file.finance.sina.com.cn/211.154.219.97:9494/MRGG/BOND/2024/2024-6/2024-06-27/20497374.PDF</t>
  </si>
  <si>
    <t>https://www.shclearing.com.cn/xxpl/xypj/zxpl/mtn_554/202405/t20240531_1427801.html</t>
  </si>
  <si>
    <t>ci_local</t>
  </si>
  <si>
    <t>ci_usd</t>
  </si>
  <si>
    <t>avg_equity_local</t>
  </si>
  <si>
    <t>avg_equity_usd</t>
  </si>
  <si>
    <t>debt_ratio</t>
  </si>
  <si>
    <t>https://www.euas.gov.tr/raporlar
http://www.sp.gov.tr/upload/xSPRapor/files/nJ1dI+EUAS_Yillik_Rapor_2020.pdf</t>
  </si>
  <si>
    <t>https://www.euas.gov.tr/mali-durum</t>
  </si>
  <si>
    <t>Eskom Holdings SOC Limited
Annual financial statements</t>
  </si>
  <si>
    <t>https://www.eskom.co.za/investors/integrated-results/</t>
  </si>
  <si>
    <t xml:space="preserve">https://www.eskom.co.za/heritage/annual-and-statistical-reports/ </t>
  </si>
  <si>
    <t>Eskom Holdings SOC Limited
Annual integrated reports</t>
  </si>
  <si>
    <t>roe</t>
  </si>
  <si>
    <t>roa</t>
  </si>
  <si>
    <t>avg_asset_local</t>
  </si>
  <si>
    <t>avg_asset_usd</t>
  </si>
  <si>
    <t>asset_usd</t>
  </si>
  <si>
    <t>Perusahaan Listrik Negara
Financial statements</t>
  </si>
  <si>
    <t>https://web.pln.co.id/en/stakeholders/financial-statements</t>
  </si>
  <si>
    <t>China Huadian Corporation
Annual report on bonds 2021</t>
  </si>
  <si>
    <t>https://file.finance.sina.com.cn/211.154.219.97:9494/MRGG/BOND/2022/2022-4/2022-04-29/17192674.PDF</t>
  </si>
  <si>
    <t>https://www.shclearing.com.cn/xxpl/fxpl/scp/202409/t20240918_1481615.html</t>
  </si>
  <si>
    <t>A</t>
  </si>
  <si>
    <t>BBB-</t>
  </si>
  <si>
    <t>Fitch Ratings Electricity Generating Authority of Thailand</t>
  </si>
  <si>
    <t>Fitch Ratings Huadian Corporation</t>
  </si>
  <si>
    <t>Fitch Ratings Huaneng Group</t>
  </si>
  <si>
    <t>Fitch Ratings State Power Investment Corporation</t>
  </si>
  <si>
    <t>Fitch Ratings National Thermal Power Corporation Limited</t>
  </si>
  <si>
    <t>Fitch Ratings Perusahaan Listrik Negara</t>
  </si>
  <si>
    <t>Fitch Ratings Comisión Federal de Electricidad</t>
  </si>
  <si>
    <t>Fitch Ratings Eskom Holdings SOC Limited</t>
  </si>
  <si>
    <t xml:space="preserve">Fitch Ratings Korea Electric Power Corporation </t>
  </si>
  <si>
    <t>Fitch Ratings Polska Grupa Energetyczna S.A.</t>
  </si>
  <si>
    <t>Elektrik Üretim A.Ş.
Financial statements bilingual</t>
  </si>
  <si>
    <t xml:space="preserve">https://www.fitchratings.com/entity/pge-polska-grupa-energetyczna-sa-88299856#ratings </t>
  </si>
  <si>
    <t xml:space="preserve">https://www.fitchratings.com/entity/pt-perusahaan-listrik-negara-persero-90733494#ratings </t>
  </si>
  <si>
    <t xml:space="preserve">https://www.fitchratings.com/entity/state-power-investment-corporation-limited-96160364 </t>
  </si>
  <si>
    <t>https://www.fitchratings.com/entity/china-huaneng-group-co-ltd-96746077#ratings</t>
  </si>
  <si>
    <t xml:space="preserve">https://www.fitchratings.com/entity/ntpc-limited-80915431#ratings </t>
  </si>
  <si>
    <t>A(zaf)</t>
  </si>
  <si>
    <t xml:space="preserve">https://www.fitchratings.com/entity/eskom-holdings-soc-ltd-80464056#ratings </t>
  </si>
  <si>
    <t>https://www.fitchratings.com/entity/korea-electric-power-corporation-80361175#ratings</t>
  </si>
  <si>
    <t>AA-</t>
  </si>
  <si>
    <t>Version 1.0 – October 2024</t>
  </si>
  <si>
    <t>15.10.2024</t>
  </si>
  <si>
    <t xml:space="preserve">https://www.fitchratings.com/entity/electricity-generating-authority-of-thailand-97079209#ratings </t>
  </si>
  <si>
    <t>China Datang Corporation
Annual Financial Report 2021-2023</t>
  </si>
  <si>
    <t>https://file.finance.sina.com.cn/211.154.219.97:9494/MRGG/BOND/2022/2022-4/2022-04-29/17235354.PDF
https://file.finance.sina.com.cn/211.154.219.97:9494/MRGG/BOND/2023/2023-4/2023-04-28/18621121.PDF 
https://www.sse.com.cn/disclosure/bond/announcement/corporate/c/new/2024-04-30/120601_20240430_PIFT.pdf</t>
  </si>
  <si>
    <t>The download site is no longer accessible. The official website for corporate social responsibility reports needs to be updated.</t>
  </si>
  <si>
    <t>China Huadian Corporation
Audited financial statements 2022-2023</t>
  </si>
  <si>
    <t xml:space="preserve">https://www.fitchratings.com/entity/china-huadian-corporation-ltd-96639161#ratings </t>
  </si>
  <si>
    <t>China Huaneng Group
Audited financial statements 2021-2023</t>
  </si>
  <si>
    <t>https://static.sse.com.cn/bond/bridge2/disclosure/announcement/c/202309/032853_20230906_YSFO.pdf
https://file.finance.sina.com.cn/211.154.219.97:9494/MRGG/BOND/2023/2023-4/2023-04-28/18705454.PDF
https://file.finance.sina.com.cn/211.154.219.97:9494/MRGG/BOND/2024/2024-5/2024-05-17/20349966.PDF</t>
  </si>
  <si>
    <t>https://www.sse.com.cn/disclosure/bond/announcement/company/c/new/2023-04-29/163775_20230429_E1FF.pdf
https://static.cninfo.com.cn/finalpage/2024-04-30/1219953022.pdf</t>
  </si>
  <si>
    <t>State Power Investment Corporation
Audited financial statements 2022-2023</t>
  </si>
  <si>
    <t xml:space="preserve">https://www.cfe.mx/finanzas/reportes-financieros/Documents/2021/EDOSFIN%20dic%2021.pdf 
https://www.cfe.mx/finanzas/reportes-financieros/Documents/2022/Cierre%202022.pdf 
https://www.cfe.mx/finanzas/reportes-financieros/Documents/2023/Al%20cierre%202023.pdf </t>
  </si>
  <si>
    <t>https://www.fitchratings.com/entity/comision-federal-de-electricidad-cfe-80775179#ratings</t>
  </si>
  <si>
    <t>Gross domestic product</t>
  </si>
  <si>
    <t>Gross domestic product per capita</t>
  </si>
  <si>
    <t>Total carbon dioxide equivalent emissions per capita</t>
  </si>
  <si>
    <t>Power sector carbon dioxide emissions from fossil fuels</t>
  </si>
  <si>
    <t>Electrification rate</t>
  </si>
  <si>
    <t>Total primary energy consumption</t>
  </si>
  <si>
    <t>Proportion of the country's power sector carbon dioxide emissions from fossil fuels in its total carbon dioxide equivalent emissions</t>
  </si>
  <si>
    <t>Proportion of the country's power sector carbon dioxide emissions from fossil fuels in the world's power sector carbon dioxide emissions from fossil fuels</t>
  </si>
  <si>
    <t>Primary energy consumption from oil</t>
  </si>
  <si>
    <t>Primary energy consumption from fossil gas</t>
  </si>
  <si>
    <t>Primary energy consumption from coal</t>
  </si>
  <si>
    <t>Primary energy consumption from nuclear energy</t>
  </si>
  <si>
    <t>Primary energy consumption from renewables</t>
  </si>
  <si>
    <t>Proportion of oil consumption in total primary energy consumption</t>
  </si>
  <si>
    <t>Proportion of fossil gas consumption in total primary energy consumption</t>
  </si>
  <si>
    <t>Proportion of coal consumption in total primary energy consumption</t>
  </si>
  <si>
    <t>Proportion of nuclear energy consumption in total primary energy consumption</t>
  </si>
  <si>
    <t>Proportion of hydropower consumption in total primary energy consumption</t>
  </si>
  <si>
    <t>Primary energy consumption from hydropower</t>
  </si>
  <si>
    <t>Proportion of renewables consumption in total primary energy consumption</t>
  </si>
  <si>
    <t>Coal production</t>
  </si>
  <si>
    <t>Total installed power capacity</t>
  </si>
  <si>
    <t>Fossil gas production</t>
  </si>
  <si>
    <t>Installed coal-fired power capacity</t>
  </si>
  <si>
    <t>Installed fossil gas-fired power capacity</t>
  </si>
  <si>
    <t>Installed nuclear power capacity</t>
  </si>
  <si>
    <t>Installed hydropower capacity</t>
  </si>
  <si>
    <t>Installed wind capacity</t>
  </si>
  <si>
    <t>Installed solar capacity</t>
  </si>
  <si>
    <t>Installed bioenergy capacity</t>
  </si>
  <si>
    <t>Installed other renewables capacity</t>
  </si>
  <si>
    <t>Installed other types of power capacity</t>
  </si>
  <si>
    <t>Proportion of installed coal-fired power capacity in total installed power capacity</t>
  </si>
  <si>
    <t>Proportion of installed fossil gas-fired power capacity in total installed power capacity</t>
  </si>
  <si>
    <t>Proportion of installed nuclear power capacity in total installed power capacity</t>
  </si>
  <si>
    <t>Proportion of installed hydropower capacity in total installed power capacity</t>
  </si>
  <si>
    <t>Proportion of installed wind capacity in total installed power capacity</t>
  </si>
  <si>
    <t>Proportion of installed solar capacity in total installed power capacity</t>
  </si>
  <si>
    <t>Proportion of installed bioenergy capacity in total installed power capacity</t>
  </si>
  <si>
    <t>Proportion of installed other renewables capacity in total installed power capacity</t>
  </si>
  <si>
    <t>Proportion of total installed renewables capacity in total installed power capacity</t>
  </si>
  <si>
    <t>Proportion of installed other capacity in total installed power capacity</t>
  </si>
  <si>
    <t>Total power generation</t>
  </si>
  <si>
    <t>Coal-fired power generation</t>
  </si>
  <si>
    <t>Fossil gas-fired power generation</t>
  </si>
  <si>
    <t>Other fossil power generation</t>
  </si>
  <si>
    <t>Total fossil power generation</t>
  </si>
  <si>
    <t>Nuclear power generation</t>
  </si>
  <si>
    <t>Hydropower generation</t>
  </si>
  <si>
    <t>Wind generation</t>
  </si>
  <si>
    <t>Solar generation</t>
  </si>
  <si>
    <t>Bioenergy generation</t>
  </si>
  <si>
    <t>Other renewables generation</t>
  </si>
  <si>
    <t>Total renewables generation</t>
  </si>
  <si>
    <t>Other types of power generation</t>
  </si>
  <si>
    <t>Proportion of total fossil power generation in total power generation</t>
  </si>
  <si>
    <t>Proportion of coal-fired power generation in total power generation</t>
  </si>
  <si>
    <t>Proportion of fossil gas-fired power generation in total power generation</t>
  </si>
  <si>
    <t>Proportion of other fossil power generation in total power generation</t>
  </si>
  <si>
    <t>Proportion of nuclear power generation in total power generation</t>
  </si>
  <si>
    <t>Proportion of hydropower generation in total power generation</t>
  </si>
  <si>
    <t>Proportion of wind generation in total power generation</t>
  </si>
  <si>
    <t>Proportion of solar generation in total power generation</t>
  </si>
  <si>
    <t>Proportion of bioenergy generation in total power generation</t>
  </si>
  <si>
    <t>Proportion of other renewable generation in total power generation</t>
  </si>
  <si>
    <t>Proportion of total renewables generation in total power generation</t>
  </si>
  <si>
    <t>Proportion of other types of power generation in total power generation</t>
  </si>
  <si>
    <t>China</t>
  </si>
  <si>
    <t>India</t>
  </si>
  <si>
    <t>Indonesia</t>
  </si>
  <si>
    <t>Mexico</t>
  </si>
  <si>
    <t>Poland</t>
  </si>
  <si>
    <t>South Africa</t>
  </si>
  <si>
    <t>South Korea</t>
  </si>
  <si>
    <t>Turkiye</t>
  </si>
  <si>
    <t>World</t>
  </si>
  <si>
    <t>Selected top emitting countries where state-owned power companies play a pivotal role in respective national economies</t>
  </si>
  <si>
    <t>Full name of state-owned power companies</t>
  </si>
  <si>
    <t>Calendar year</t>
  </si>
  <si>
    <t>person</t>
  </si>
  <si>
    <t>Number of employees</t>
  </si>
  <si>
    <t>CEIC</t>
  </si>
  <si>
    <t>Datang</t>
  </si>
  <si>
    <t>Huadian</t>
  </si>
  <si>
    <t>Huaneng</t>
  </si>
  <si>
    <t>NTPC</t>
  </si>
  <si>
    <t>PLN</t>
  </si>
  <si>
    <t>CFE</t>
  </si>
  <si>
    <t>PGE</t>
  </si>
  <si>
    <t>Eskom</t>
  </si>
  <si>
    <t>KEPCO</t>
  </si>
  <si>
    <t>EÜAŞ</t>
  </si>
  <si>
    <t>https://data.ecb.europa.eu/help/api/overview</t>
  </si>
  <si>
    <t>US dollar exchange rate as of  31 December</t>
  </si>
  <si>
    <t>liability_usd</t>
  </si>
  <si>
    <t>Long term issuer default rating by Fitch Ratings</t>
  </si>
  <si>
    <t>Debt ratio = total liabilities / total assets</t>
  </si>
  <si>
    <t>Operating margin = earnings before interest and taxes / total revenues</t>
  </si>
  <si>
    <t>Return on equity = net profit / average equity</t>
  </si>
  <si>
    <t>Return on assets = net profit / average assets</t>
  </si>
  <si>
    <t>Installed oil-fired power capacity</t>
  </si>
  <si>
    <t>Proportion of installed oil-fired power capacity in total installed power capacity</t>
  </si>
  <si>
    <t>Proportion of installed coal-fired power capacity</t>
  </si>
  <si>
    <t>Oil-fired power generation</t>
  </si>
  <si>
    <t>Proportion of oil-fired power generation in total power generation</t>
  </si>
  <si>
    <t>NA</t>
  </si>
  <si>
    <t>China Energy Investment Corporation
Social responsibility / sustainability development reports</t>
  </si>
  <si>
    <t>China Energy Investment Corporation
Third party rating report 2024</t>
  </si>
  <si>
    <t>China Datang Corporation
Social responsibility / sustainability development reports</t>
  </si>
  <si>
    <t>China Datang Corporation
Third party rating report 2024</t>
  </si>
  <si>
    <t>China Huadian Corporation
Third party rating report 2024</t>
  </si>
  <si>
    <t>China Huaneng Group
ESG / sustainability development reports</t>
  </si>
  <si>
    <t>China Huaneng Group
Third party rating reports</t>
  </si>
  <si>
    <t>State Power Investment Corporation
Third party rating report 2024</t>
  </si>
  <si>
    <t>Türkiye</t>
  </si>
  <si>
    <t>If the state-owned power company owns and operates power generation assets</t>
  </si>
  <si>
    <t xml:space="preserve">Total installed power capacity </t>
  </si>
  <si>
    <t>vertically_integrate</t>
  </si>
  <si>
    <t xml:space="preserve">ic_fossil_nationpc	</t>
  </si>
  <si>
    <t xml:space="preserve">Proportion of total installed power capacity in the country's total installed power capacity </t>
  </si>
  <si>
    <t xml:space="preserve">gen_fossil_nationpc	</t>
  </si>
  <si>
    <t xml:space="preserve">Proportion of the company's total power generation in the country's total power generation </t>
  </si>
  <si>
    <t>Proportion of the company's installed renewables capacity in the country's installed renewables capacity</t>
  </si>
  <si>
    <t xml:space="preserve">Proportion of the company's fossil power generation in the country's fossil power generation </t>
  </si>
  <si>
    <t>Proportion of fossil power generation in total power generation</t>
  </si>
  <si>
    <t>Proportion of installed renewables capacity in total installed power capacity</t>
  </si>
  <si>
    <t>Agora Energiewende (2024): State-owned power companies (SPCs) in top emitting countries</t>
  </si>
  <si>
    <t xml:space="preserve">The authors of the file and data, Agora Energiewende, trust but do not guarantee the accuracy and completeness of the following information.   </t>
  </si>
  <si>
    <t>The data were collected from the following sources, subject to Agora's calculation. Blank cells indicate missing data.
Due to statistical issues with raw data, companies' data on total installed capacity and total generation may not match exactly the sum of breakdown data.
For data on NTPC and Eskom, their fiscal year runs until 31 March of the following calendar year, i.e., the fiscal year 2021 = 1 April 2021 to 31 March 2022.</t>
  </si>
  <si>
    <t xml:space="preserve">https://file.finance.sina.com.cn/211.154.219.97:9494/MRGG/BOND/2023/2023-4/2023-04-28/18685856.PDF 
https://www.shclearing.com.cn/xxpl/cwbg/nb/202405/t20240501_1413580.html </t>
  </si>
  <si>
    <t>Terminology_data_country</t>
  </si>
  <si>
    <t>Data_country</t>
  </si>
  <si>
    <t>Terminology_data_SPC</t>
  </si>
  <si>
    <t>Data_SPC</t>
  </si>
  <si>
    <t>European Central Bank 
Data portal</t>
  </si>
  <si>
    <t>Comisión Federal de Electricidad
Consolidated financial statements 2021-2023</t>
  </si>
  <si>
    <t>China Huadian Corporation
Sustainability development &amp; ESG report 2022</t>
  </si>
  <si>
    <t>China Energy Investment Corporation
Audited financial report 2021-2023</t>
  </si>
  <si>
    <t>Total carbon dioxide equivalent emissions, including from energy, industry process, flaring and methane</t>
  </si>
  <si>
    <t>Proportion of fossil gas imports to meet the primary energy consumption from fossil gas</t>
  </si>
  <si>
    <t>Proportion of coal imports to meet the primary energy consumption from coal</t>
  </si>
  <si>
    <t>Total installed fossil fuel-fired power capacity (coal, fossil gas and other fossil fuels)</t>
  </si>
  <si>
    <t>Installed other fossil fuel-fired power capacity</t>
  </si>
  <si>
    <t>Total installed renewables capacity (wind, solar, bioenergy and other renewables)</t>
  </si>
  <si>
    <t>Proportion of total installed fossil fuel-fired power capacity</t>
  </si>
  <si>
    <t>Proportion of installed other fossil fuel-fired power capacity</t>
  </si>
  <si>
    <t>Terawatt hours</t>
  </si>
  <si>
    <t>Acronym of "state-owned power companies"</t>
  </si>
  <si>
    <t xml:space="preserve">Calendar year. The calendar year corresponds to the fiscal year, except for NPTC and Eskom, whose fiscal year ends on 31 March of the following calendar year. </t>
  </si>
  <si>
    <t>If the state-owned power company owns all levels of the supply chain: generation, transmission and distribution, with the exception for EGAT, which does not operate power distribution but is still considered a vertically integrated utility</t>
  </si>
  <si>
    <t>If the state-owned power company owns and operates the power transmission system</t>
  </si>
  <si>
    <t>If the state-owned power company owns and operates the power distribution system</t>
  </si>
  <si>
    <t>Total assets  in local currency</t>
  </si>
  <si>
    <t>Total assets denominated in US dollars</t>
  </si>
  <si>
    <t>Average assets in local currency</t>
  </si>
  <si>
    <t>Average assets denominated in US dollars</t>
  </si>
  <si>
    <t>Total liabilities in local currency</t>
  </si>
  <si>
    <t>Total liabilities denominated in US dollars</t>
  </si>
  <si>
    <t>Total equity in local currency</t>
  </si>
  <si>
    <t>Total equity denominated in US dollars</t>
  </si>
  <si>
    <t>Average equity in local currency</t>
  </si>
  <si>
    <t>Average equity denominated in US dollars</t>
  </si>
  <si>
    <t>Total revenue or sales from core business in local currency</t>
  </si>
  <si>
    <t>Total revenue or sales from core business denominated in US dollars</t>
  </si>
  <si>
    <t>Earnings before interest and taxes in local currency</t>
  </si>
  <si>
    <t>Earnings before interest and taxes denominated in US dollars</t>
  </si>
  <si>
    <t>Net profit in local currency</t>
  </si>
  <si>
    <t>Net profit denominated in USD</t>
  </si>
  <si>
    <t>Comprehensive income in local currency</t>
  </si>
  <si>
    <t>Comprehensive income denominated in USD</t>
  </si>
  <si>
    <t>millions</t>
  </si>
  <si>
    <t>Total installed fossil fuel-fired power capacity (oil, fossil gas and coal)</t>
  </si>
  <si>
    <t xml:space="preserve">Proportion of installed fossil fuel-fired power capacity in the country's installed fossil fuel-fired power capacity </t>
  </si>
  <si>
    <t>Proportion of installed fossil fuel-fired power capacity in total installed power capacity</t>
  </si>
  <si>
    <t>Table_of_contents</t>
  </si>
  <si>
    <t>References</t>
  </si>
  <si>
    <t>Table of contents</t>
  </si>
  <si>
    <t>← Return</t>
  </si>
  <si>
    <t>in top emitting countries</t>
  </si>
  <si>
    <t xml:space="preserve">State-owned power companies (SPCs)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</si>
</sst>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67" x14ac:knownFonts="1">
    <font>
      <sz val="10"/>
      <color theme="1"/>
      <name val="Arial"/>
      <family val="2"/>
    </font>
    <font>
      <sz val="11"/>
      <color theme="1"/>
      <name val="Flexo"/>
      <family val="2"/>
      <scheme val="minor"/>
    </font>
    <font>
      <sz val="11"/>
      <color theme="1"/>
      <name val="Flexo"/>
      <family val="2"/>
      <scheme val="minor"/>
    </font>
    <font>
      <sz val="11"/>
      <color theme="1"/>
      <name val="Flexo"/>
      <family val="2"/>
      <scheme val="minor"/>
    </font>
    <font>
      <sz val="11"/>
      <color theme="1"/>
      <name val="Flexo"/>
      <family val="2"/>
      <scheme val="minor"/>
    </font>
    <font>
      <sz val="11"/>
      <color theme="1"/>
      <name val="Flexo"/>
      <family val="2"/>
      <scheme val="minor"/>
    </font>
    <font>
      <sz val="11"/>
      <color theme="1"/>
      <name val="Flexo"/>
      <family val="2"/>
      <scheme val="minor"/>
    </font>
    <font>
      <sz val="11"/>
      <color theme="1"/>
      <name val="Flexo"/>
      <family val="2"/>
      <scheme val="minor"/>
    </font>
    <font>
      <sz val="10"/>
      <color theme="1"/>
      <name val="Arial"/>
      <family val="2"/>
    </font>
    <font>
      <sz val="18"/>
      <color theme="3"/>
      <name val="Flexo"/>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b/>
      <sz val="10"/>
      <color theme="1"/>
      <name val="Arial"/>
      <family val="2"/>
    </font>
    <font>
      <sz val="10"/>
      <color theme="0"/>
      <name val="Arial"/>
      <family val="2"/>
    </font>
    <font>
      <b/>
      <sz val="11"/>
      <color theme="1"/>
      <name val="Arial"/>
      <family val="2"/>
    </font>
    <font>
      <i/>
      <sz val="9"/>
      <color theme="1"/>
      <name val="Arial"/>
      <family val="2"/>
    </font>
    <font>
      <b/>
      <sz val="14"/>
      <color theme="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5"/>
      <color theme="3"/>
      <name val="Flexo"/>
      <family val="2"/>
      <scheme val="minor"/>
    </font>
    <font>
      <b/>
      <sz val="13"/>
      <color theme="3"/>
      <name val="Flexo"/>
      <family val="2"/>
      <scheme val="minor"/>
    </font>
    <font>
      <b/>
      <sz val="11"/>
      <color theme="3"/>
      <name val="Flexo"/>
      <family val="2"/>
      <scheme val="minor"/>
    </font>
    <font>
      <sz val="11"/>
      <color rgb="FF006100"/>
      <name val="Flexo"/>
      <family val="2"/>
      <scheme val="minor"/>
    </font>
    <font>
      <sz val="11"/>
      <color rgb="FF9C0006"/>
      <name val="Flexo"/>
      <family val="2"/>
      <scheme val="minor"/>
    </font>
    <font>
      <sz val="11"/>
      <color rgb="FF9C5700"/>
      <name val="Flexo"/>
      <family val="2"/>
      <scheme val="minor"/>
    </font>
    <font>
      <sz val="11"/>
      <color rgb="FF3F3F76"/>
      <name val="Flexo"/>
      <family val="2"/>
      <scheme val="minor"/>
    </font>
    <font>
      <b/>
      <sz val="11"/>
      <color rgb="FF3F3F3F"/>
      <name val="Flexo"/>
      <family val="2"/>
      <scheme val="minor"/>
    </font>
    <font>
      <b/>
      <sz val="11"/>
      <color rgb="FFFA7D00"/>
      <name val="Flexo"/>
      <family val="2"/>
      <scheme val="minor"/>
    </font>
    <font>
      <sz val="11"/>
      <color rgb="FFFA7D00"/>
      <name val="Flexo"/>
      <family val="2"/>
      <scheme val="minor"/>
    </font>
    <font>
      <b/>
      <sz val="11"/>
      <color theme="0"/>
      <name val="Flexo"/>
      <family val="2"/>
      <scheme val="minor"/>
    </font>
    <font>
      <sz val="11"/>
      <color rgb="FFFF0000"/>
      <name val="Flexo"/>
      <family val="2"/>
      <scheme val="minor"/>
    </font>
    <font>
      <i/>
      <sz val="11"/>
      <color rgb="FF7F7F7F"/>
      <name val="Flexo"/>
      <family val="2"/>
      <scheme val="minor"/>
    </font>
    <font>
      <b/>
      <sz val="11"/>
      <color theme="1"/>
      <name val="Flexo"/>
      <family val="2"/>
      <scheme val="minor"/>
    </font>
    <font>
      <sz val="11"/>
      <color theme="0"/>
      <name val="Flexo"/>
      <family val="2"/>
      <scheme val="minor"/>
    </font>
    <font>
      <sz val="10"/>
      <color theme="0" tint="-0.499984740745262"/>
      <name val="Arial"/>
      <family val="2"/>
    </font>
    <font>
      <sz val="8"/>
      <name val="Arial"/>
      <family val="2"/>
    </font>
    <font>
      <sz val="10"/>
      <name val="Arial"/>
      <family val="2"/>
    </font>
    <font>
      <u/>
      <sz val="11"/>
      <color theme="10"/>
      <name val="Flexo"/>
      <family val="2"/>
      <scheme val="minor"/>
    </font>
    <font>
      <sz val="10"/>
      <color theme="1"/>
      <name val="Calibri"/>
      <family val="2"/>
    </font>
    <font>
      <sz val="11"/>
      <color theme="1"/>
      <name val="Calibri"/>
      <family val="2"/>
    </font>
    <font>
      <b/>
      <sz val="12"/>
      <color theme="1"/>
      <name val="Calibri"/>
      <family val="2"/>
    </font>
    <font>
      <sz val="10"/>
      <name val="Calibri"/>
      <family val="2"/>
    </font>
    <font>
      <b/>
      <sz val="12"/>
      <color theme="0"/>
      <name val="Calibri"/>
      <family val="2"/>
    </font>
    <font>
      <u/>
      <sz val="10"/>
      <color theme="10"/>
      <name val="Arial"/>
      <family val="2"/>
    </font>
    <font>
      <b/>
      <sz val="11"/>
      <color theme="6"/>
      <name val="Calibri"/>
      <family val="2"/>
    </font>
    <font>
      <sz val="10"/>
      <color rgb="FFAB2E70" tint="-0.249977111117893"/>
      <name val="Calibri"/>
      <family val="2"/>
    </font>
    <font>
      <b/>
      <sz val="12"/>
      <color theme="2"/>
      <name val="Calibri"/>
      <family val="2"/>
    </font>
    <font>
      <u/>
      <sz val="10"/>
      <color theme="10"/>
      <name val="Calibri"/>
      <family val="2"/>
    </font>
    <font>
      <b/>
      <sz val="12"/>
      <color theme="2"/>
      <name val="Arial"/>
      <family val="2"/>
    </font>
    <font>
      <b/>
      <sz val="12"/>
      <name val="Calibri"/>
      <family val="2"/>
    </font>
    <font>
      <b/>
      <sz val="10"/>
      <color theme="6"/>
      <name val="Calibri"/>
      <family val="2"/>
    </font>
    <font>
      <sz val="28"/>
      <name val="Calibri"/>
      <family val="2"/>
    </font>
    <font>
      <sz val="11"/>
      <name val="Calibri"/>
      <family val="2"/>
    </font>
    <font>
      <sz val="12"/>
      <name val="Calibri"/>
      <family val="2"/>
    </font>
    <font>
      <b/>
      <sz val="11"/>
      <name val="Calibri"/>
      <family val="2"/>
    </font>
    <font>
      <sz val="28"/>
      <color theme="1"/>
      <name val="Calibri"/>
      <family val="2"/>
    </font>
    <font>
      <b/>
      <u/>
      <sz val="11"/>
      <color theme="6"/>
      <name val="Calibri"/>
      <family val="2"/>
    </font>
    <font>
      <b/>
      <u/>
      <sz val="10"/>
      <color theme="10"/>
      <name val="Arial"/>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bgColor indexed="64"/>
      </patternFill>
    </fill>
    <fill>
      <patternFill patternType="solid">
        <fgColor theme="4"/>
        <bgColor theme="4"/>
      </patternFill>
    </fill>
    <fill>
      <patternFill patternType="solid">
        <fgColor rgb="FFF0F0F0"/>
        <bgColor indexed="64"/>
      </patternFill>
    </fill>
    <fill>
      <patternFill patternType="solid">
        <fgColor theme="2" tint="-4.9989318521683403E-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diagonal/>
    </border>
    <border>
      <left/>
      <right/>
      <top style="thin">
        <color indexed="64"/>
      </top>
      <bottom/>
      <diagonal/>
    </border>
    <border>
      <left/>
      <right/>
      <top/>
      <bottom style="thin">
        <color rgb="FF7030A0"/>
      </bottom>
      <diagonal/>
    </border>
    <border>
      <left/>
      <right/>
      <top style="thin">
        <color theme="4"/>
      </top>
      <bottom style="thin">
        <color rgb="FF7030A0"/>
      </bottom>
      <diagonal/>
    </border>
    <border>
      <left/>
      <right style="thin">
        <color theme="4"/>
      </right>
      <top style="thin">
        <color theme="4"/>
      </top>
      <bottom style="thin">
        <color rgb="FF7030A0"/>
      </bottom>
      <diagonal/>
    </border>
    <border>
      <left/>
      <right/>
      <top style="thin">
        <color indexed="64"/>
      </top>
      <bottom style="thin">
        <color rgb="FF7030A0"/>
      </bottom>
      <diagonal/>
    </border>
    <border>
      <left/>
      <right/>
      <top style="thin">
        <color rgb="FF7030A0"/>
      </top>
      <bottom style="thin">
        <color rgb="FF7030A0"/>
      </bottom>
      <diagonal/>
    </border>
  </borders>
  <cellStyleXfs count="166">
    <xf numFmtId="0" fontId="0" fillId="0" borderId="0">
      <alignment horizontal="left" vertical="center"/>
    </xf>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0" borderId="4" applyNumberFormat="0" applyFill="0" applyAlignment="0" applyProtection="0"/>
    <xf numFmtId="0" fontId="17"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7" fillId="29" borderId="0" applyNumberFormat="0" applyBorder="0" applyAlignment="0" applyProtection="0"/>
    <xf numFmtId="0" fontId="20" fillId="30" borderId="0">
      <alignment vertical="center"/>
    </xf>
    <xf numFmtId="0" fontId="18" fillId="2" borderId="5">
      <alignment horizontal="center" vertical="center"/>
    </xf>
    <xf numFmtId="0" fontId="8" fillId="0" borderId="0">
      <alignment horizontal="center" vertical="center"/>
    </xf>
    <xf numFmtId="0" fontId="21" fillId="31" borderId="6" applyNumberFormat="0" applyAlignment="0" applyProtection="0"/>
    <xf numFmtId="0" fontId="22" fillId="32" borderId="7" applyNumberFormat="0" applyAlignment="0" applyProtection="0"/>
    <xf numFmtId="0" fontId="23" fillId="32" borderId="6" applyNumberFormat="0" applyAlignment="0" applyProtection="0"/>
    <xf numFmtId="0" fontId="24" fillId="0" borderId="8" applyNumberFormat="0" applyFill="0" applyAlignment="0" applyProtection="0"/>
    <xf numFmtId="0" fontId="25" fillId="33" borderId="9" applyNumberFormat="0" applyAlignment="0" applyProtection="0"/>
    <xf numFmtId="0" fontId="26" fillId="0" borderId="0" applyNumberFormat="0" applyFill="0" applyBorder="0" applyAlignment="0" applyProtection="0"/>
    <xf numFmtId="0" fontId="8" fillId="34" borderId="10" applyNumberFormat="0" applyFont="0" applyAlignment="0" applyProtection="0"/>
    <xf numFmtId="0" fontId="27" fillId="0" borderId="0" applyNumberForma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9" fontId="8" fillId="0" borderId="0" applyFont="0" applyFill="0" applyBorder="0" applyAlignment="0" applyProtection="0"/>
    <xf numFmtId="0" fontId="19" fillId="2" borderId="0">
      <alignment horizontal="left" vertical="center"/>
    </xf>
    <xf numFmtId="0" fontId="8" fillId="0" borderId="0">
      <alignment horizontal="left" vertical="center"/>
    </xf>
    <xf numFmtId="0" fontId="7" fillId="0" borderId="0"/>
    <xf numFmtId="0" fontId="9"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31" borderId="6" applyNumberFormat="0" applyAlignment="0" applyProtection="0"/>
    <xf numFmtId="0" fontId="35" fillId="32" borderId="7" applyNumberFormat="0" applyAlignment="0" applyProtection="0"/>
    <xf numFmtId="0" fontId="36" fillId="32" borderId="6" applyNumberFormat="0" applyAlignment="0" applyProtection="0"/>
    <xf numFmtId="0" fontId="37" fillId="0" borderId="8" applyNumberFormat="0" applyFill="0" applyAlignment="0" applyProtection="0"/>
    <xf numFmtId="0" fontId="38" fillId="33" borderId="9" applyNumberFormat="0" applyAlignment="0" applyProtection="0"/>
    <xf numFmtId="0" fontId="39" fillId="0" borderId="0" applyNumberFormat="0" applyFill="0" applyBorder="0" applyAlignment="0" applyProtection="0"/>
    <xf numFmtId="0" fontId="7" fillId="34" borderId="10" applyNumberFormat="0" applyFont="0" applyAlignment="0" applyProtection="0"/>
    <xf numFmtId="0" fontId="40" fillId="0" borderId="0" applyNumberFormat="0" applyFill="0" applyBorder="0" applyAlignment="0" applyProtection="0"/>
    <xf numFmtId="0" fontId="41" fillId="0" borderId="4" applyNumberFormat="0" applyFill="0" applyAlignment="0" applyProtection="0"/>
    <xf numFmtId="0" fontId="42"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42"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42"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42"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42"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42"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44" fillId="0" borderId="0" applyFill="0" applyBorder="0"/>
    <xf numFmtId="0" fontId="6" fillId="0" borderId="0"/>
    <xf numFmtId="0" fontId="44" fillId="0" borderId="0" applyFill="0" applyBorder="0"/>
    <xf numFmtId="0" fontId="5" fillId="0" borderId="0"/>
    <xf numFmtId="0" fontId="5" fillId="34" borderId="10" applyNumberFormat="0" applyFont="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4" fillId="0" borderId="0"/>
    <xf numFmtId="0" fontId="3" fillId="0" borderId="0"/>
    <xf numFmtId="0" fontId="46" fillId="0" borderId="0" applyNumberFormat="0" applyFill="0" applyBorder="0" applyAlignment="0" applyProtection="0"/>
    <xf numFmtId="0" fontId="52" fillId="0" borderId="0" applyNumberFormat="0" applyFill="0" applyBorder="0" applyAlignment="0" applyProtection="0">
      <alignment horizontal="left" vertical="center"/>
    </xf>
    <xf numFmtId="0" fontId="2" fillId="0" borderId="0"/>
    <xf numFmtId="0" fontId="1" fillId="0" borderId="0"/>
    <xf numFmtId="0" fontId="1" fillId="34" borderId="10" applyNumberFormat="0" applyFont="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0" borderId="0"/>
    <xf numFmtId="0" fontId="1" fillId="0" borderId="0"/>
    <xf numFmtId="0" fontId="1" fillId="34" borderId="10" applyNumberFormat="0" applyFont="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0" borderId="0"/>
    <xf numFmtId="0" fontId="1" fillId="0" borderId="0"/>
    <xf numFmtId="0" fontId="1" fillId="0" borderId="0"/>
  </cellStyleXfs>
  <cellXfs count="92">
    <xf numFmtId="0" fontId="0" fillId="0" borderId="0" xfId="0">
      <alignment horizontal="left" vertical="center"/>
    </xf>
    <xf numFmtId="0" fontId="50" fillId="0" borderId="0" xfId="0" applyFont="1" applyAlignment="1">
      <alignment horizontal="right" vertical="center"/>
    </xf>
    <xf numFmtId="2" fontId="45" fillId="0" borderId="0" xfId="0" applyNumberFormat="1" applyFont="1" applyAlignment="1">
      <alignment horizontal="right" vertical="center"/>
    </xf>
    <xf numFmtId="0" fontId="48" fillId="35" borderId="0" xfId="121" applyFont="1" applyFill="1"/>
    <xf numFmtId="0" fontId="48" fillId="0" borderId="0" xfId="121" applyFont="1"/>
    <xf numFmtId="0" fontId="48" fillId="0" borderId="0" xfId="121" applyFont="1" applyAlignment="1">
      <alignment vertical="top"/>
    </xf>
    <xf numFmtId="0" fontId="48" fillId="0" borderId="0" xfId="121" applyFont="1" applyAlignment="1">
      <alignment vertical="center"/>
    </xf>
    <xf numFmtId="0" fontId="0" fillId="0" borderId="0" xfId="0" applyAlignment="1">
      <alignment horizontal="right" vertical="center"/>
    </xf>
    <xf numFmtId="0" fontId="26" fillId="0" borderId="0" xfId="0" applyFont="1" applyAlignment="1">
      <alignment horizontal="right" vertical="center"/>
    </xf>
    <xf numFmtId="0" fontId="45" fillId="0" borderId="0" xfId="0" applyFont="1" applyAlignment="1">
      <alignment horizontal="right" vertical="center"/>
    </xf>
    <xf numFmtId="4" fontId="45" fillId="0" borderId="0" xfId="0" applyNumberFormat="1" applyFont="1" applyAlignment="1">
      <alignment horizontal="right" vertical="center"/>
    </xf>
    <xf numFmtId="1" fontId="45" fillId="0" borderId="0" xfId="0" applyNumberFormat="1" applyFont="1" applyAlignment="1">
      <alignment horizontal="right" vertical="center"/>
    </xf>
    <xf numFmtId="4" fontId="43" fillId="0" borderId="0" xfId="0" applyNumberFormat="1" applyFont="1" applyAlignment="1">
      <alignment horizontal="right" vertical="center"/>
    </xf>
    <xf numFmtId="4" fontId="0" fillId="0" borderId="0" xfId="0" applyNumberFormat="1" applyAlignment="1">
      <alignment horizontal="right" vertical="center"/>
    </xf>
    <xf numFmtId="0" fontId="43" fillId="0" borderId="0" xfId="0" applyFont="1" applyAlignment="1">
      <alignment horizontal="right" vertical="center"/>
    </xf>
    <xf numFmtId="2" fontId="0" fillId="0" borderId="0" xfId="0" applyNumberFormat="1" applyAlignment="1">
      <alignment horizontal="right" vertical="center"/>
    </xf>
    <xf numFmtId="0" fontId="45" fillId="0" borderId="0" xfId="0" applyFont="1">
      <alignment horizontal="left" vertical="center"/>
    </xf>
    <xf numFmtId="0" fontId="47" fillId="0" borderId="0" xfId="0" applyFont="1" applyAlignment="1">
      <alignment horizontal="left" vertical="center" wrapText="1"/>
    </xf>
    <xf numFmtId="0" fontId="54" fillId="37" borderId="0" xfId="120" applyFont="1" applyFill="1" applyAlignment="1">
      <alignment horizontal="left" vertical="center" wrapText="1"/>
    </xf>
    <xf numFmtId="0" fontId="47" fillId="37" borderId="0" xfId="0" applyFont="1" applyFill="1" applyAlignment="1">
      <alignment horizontal="left" vertical="center" wrapText="1"/>
    </xf>
    <xf numFmtId="0" fontId="49" fillId="0" borderId="0" xfId="0" applyFont="1" applyAlignment="1">
      <alignment horizontal="left" vertical="center" wrapText="1"/>
    </xf>
    <xf numFmtId="0" fontId="51" fillId="36" borderId="0" xfId="0" applyFont="1" applyFill="1" applyAlignment="1">
      <alignment horizontal="left" vertical="center" wrapText="1"/>
    </xf>
    <xf numFmtId="0" fontId="51" fillId="36" borderId="13" xfId="0" applyFont="1" applyFill="1" applyBorder="1" applyAlignment="1">
      <alignment horizontal="left" vertical="center" wrapText="1"/>
    </xf>
    <xf numFmtId="0" fontId="50" fillId="0" borderId="0" xfId="0" applyFont="1">
      <alignment horizontal="left" vertical="center"/>
    </xf>
    <xf numFmtId="4" fontId="50" fillId="0" borderId="0" xfId="0" applyNumberFormat="1" applyFont="1" applyAlignment="1">
      <alignment horizontal="right" vertical="center"/>
    </xf>
    <xf numFmtId="2" fontId="50" fillId="0" borderId="0" xfId="0" applyNumberFormat="1" applyFont="1" applyAlignment="1">
      <alignment horizontal="right" vertical="center"/>
    </xf>
    <xf numFmtId="0" fontId="51" fillId="36" borderId="14" xfId="0" applyFont="1" applyFill="1" applyBorder="1" applyAlignment="1">
      <alignment horizontal="left" vertical="center" wrapText="1"/>
    </xf>
    <xf numFmtId="0" fontId="51" fillId="36" borderId="12" xfId="0" applyFont="1" applyFill="1" applyBorder="1" applyAlignment="1">
      <alignment horizontal="left" vertical="center" wrapText="1"/>
    </xf>
    <xf numFmtId="0" fontId="48" fillId="0" borderId="0" xfId="118" applyFont="1" applyAlignment="1">
      <alignment vertical="center" wrapText="1"/>
    </xf>
    <xf numFmtId="0" fontId="47" fillId="0" borderId="13" xfId="118" applyFont="1" applyBorder="1" applyAlignment="1">
      <alignment vertical="center" wrapText="1"/>
    </xf>
    <xf numFmtId="0" fontId="47" fillId="0" borderId="12" xfId="118" applyFont="1" applyBorder="1" applyAlignment="1">
      <alignment vertical="center" wrapText="1"/>
    </xf>
    <xf numFmtId="0" fontId="47" fillId="0" borderId="0" xfId="118" applyFont="1" applyAlignment="1">
      <alignment vertical="center" wrapText="1"/>
    </xf>
    <xf numFmtId="0" fontId="56" fillId="0" borderId="12" xfId="120" applyNumberFormat="1" applyFont="1" applyFill="1" applyBorder="1" applyAlignment="1">
      <alignment vertical="center" wrapText="1"/>
    </xf>
    <xf numFmtId="0" fontId="55" fillId="0" borderId="11" xfId="0" applyFont="1" applyBorder="1">
      <alignment horizontal="left" vertical="center"/>
    </xf>
    <xf numFmtId="4" fontId="55" fillId="0" borderId="11" xfId="0" applyNumberFormat="1" applyFont="1" applyBorder="1">
      <alignment horizontal="left" vertical="center"/>
    </xf>
    <xf numFmtId="2" fontId="55" fillId="0" borderId="11" xfId="0" applyNumberFormat="1" applyFont="1" applyBorder="1">
      <alignment horizontal="left" vertical="center"/>
    </xf>
    <xf numFmtId="0" fontId="57" fillId="0" borderId="0" xfId="0" applyFont="1">
      <alignment horizontal="left" vertical="center"/>
    </xf>
    <xf numFmtId="0" fontId="58" fillId="0" borderId="0" xfId="0" applyFont="1" applyAlignment="1">
      <alignment horizontal="left" vertical="center" wrapText="1"/>
    </xf>
    <xf numFmtId="0" fontId="50" fillId="0" borderId="0" xfId="0" applyFont="1" applyAlignment="1">
      <alignment horizontal="left" vertical="center" wrapText="1"/>
    </xf>
    <xf numFmtId="4" fontId="51" fillId="0" borderId="0" xfId="0" applyNumberFormat="1" applyFont="1">
      <alignment horizontal="left" vertical="center"/>
    </xf>
    <xf numFmtId="0" fontId="51" fillId="0" borderId="0" xfId="0" applyFont="1">
      <alignment horizontal="left" vertical="center"/>
    </xf>
    <xf numFmtId="2" fontId="51" fillId="0" borderId="0" xfId="0" applyNumberFormat="1" applyFont="1">
      <alignment horizontal="left" vertical="center"/>
    </xf>
    <xf numFmtId="4" fontId="50" fillId="0" borderId="0" xfId="0" applyNumberFormat="1" applyFont="1">
      <alignment horizontal="left" vertical="center"/>
    </xf>
    <xf numFmtId="3" fontId="50" fillId="0" borderId="0" xfId="0" applyNumberFormat="1" applyFont="1" applyAlignment="1">
      <alignment horizontal="right" vertical="center"/>
    </xf>
    <xf numFmtId="2" fontId="50" fillId="0" borderId="0" xfId="0" applyNumberFormat="1" applyFont="1">
      <alignment horizontal="left" vertical="center"/>
    </xf>
    <xf numFmtId="0" fontId="47" fillId="0" borderId="0" xfId="0" applyFont="1">
      <alignment horizontal="left" vertical="center"/>
    </xf>
    <xf numFmtId="4" fontId="50" fillId="0" borderId="0" xfId="0" applyNumberFormat="1" applyFont="1" applyAlignment="1">
      <alignment vertical="center"/>
    </xf>
    <xf numFmtId="0" fontId="50" fillId="0" borderId="0" xfId="0" applyFont="1" applyAlignment="1">
      <alignment vertical="center"/>
    </xf>
    <xf numFmtId="2" fontId="47" fillId="0" borderId="0" xfId="0" applyNumberFormat="1" applyFont="1">
      <alignment horizontal="left" vertical="center"/>
    </xf>
    <xf numFmtId="0" fontId="0" fillId="0" borderId="0" xfId="0" applyAlignment="1">
      <alignment horizontal="left" vertical="center" wrapText="1"/>
    </xf>
    <xf numFmtId="0" fontId="59" fillId="0" borderId="0" xfId="0" applyFont="1">
      <alignment horizontal="left" vertical="center"/>
    </xf>
    <xf numFmtId="0" fontId="60" fillId="35" borderId="0" xfId="121" applyFont="1" applyFill="1" applyAlignment="1">
      <alignment horizontal="left" vertical="top"/>
    </xf>
    <xf numFmtId="0" fontId="61" fillId="0" borderId="0" xfId="121" applyFont="1" applyAlignment="1">
      <alignment vertical="top"/>
    </xf>
    <xf numFmtId="0" fontId="61" fillId="0" borderId="0" xfId="121" applyFont="1"/>
    <xf numFmtId="0" fontId="61" fillId="0" borderId="0" xfId="121" applyFont="1" applyAlignment="1">
      <alignment vertical="center"/>
    </xf>
    <xf numFmtId="0" fontId="63" fillId="35" borderId="0" xfId="121" applyFont="1" applyFill="1"/>
    <xf numFmtId="0" fontId="61" fillId="35" borderId="0" xfId="121" applyFont="1" applyFill="1"/>
    <xf numFmtId="0" fontId="60" fillId="35" borderId="0" xfId="121" applyFont="1" applyFill="1"/>
    <xf numFmtId="0" fontId="64" fillId="0" borderId="0" xfId="0" applyFont="1">
      <alignment horizontal="left" vertical="center"/>
    </xf>
    <xf numFmtId="0" fontId="60" fillId="0" borderId="0" xfId="121" applyFont="1" applyAlignment="1">
      <alignment vertical="top"/>
    </xf>
    <xf numFmtId="0" fontId="60" fillId="0" borderId="0" xfId="121" applyFont="1"/>
    <xf numFmtId="0" fontId="64" fillId="35" borderId="0" xfId="120" applyFont="1" applyFill="1" applyAlignment="1">
      <alignment horizontal="left" wrapText="1"/>
    </xf>
    <xf numFmtId="0" fontId="54" fillId="35" borderId="0" xfId="120" applyFont="1" applyFill="1" applyAlignment="1">
      <alignment horizontal="left" wrapText="1"/>
    </xf>
    <xf numFmtId="0" fontId="47" fillId="35" borderId="0" xfId="0" applyFont="1" applyFill="1" applyAlignment="1">
      <alignment horizontal="left" wrapText="1"/>
    </xf>
    <xf numFmtId="0" fontId="0" fillId="38" borderId="0" xfId="0" applyFill="1" applyAlignment="1">
      <alignment horizontal="left" vertical="center" wrapText="1"/>
    </xf>
    <xf numFmtId="0" fontId="0" fillId="38" borderId="0" xfId="0" applyFill="1">
      <alignment horizontal="left" vertical="center"/>
    </xf>
    <xf numFmtId="4" fontId="0" fillId="38" borderId="0" xfId="0" applyNumberFormat="1" applyFill="1" applyAlignment="1">
      <alignment horizontal="right" vertical="center"/>
    </xf>
    <xf numFmtId="2" fontId="0" fillId="38" borderId="0" xfId="0" applyNumberFormat="1" applyFill="1" applyAlignment="1">
      <alignment horizontal="right" vertical="center"/>
    </xf>
    <xf numFmtId="4" fontId="43" fillId="38" borderId="0" xfId="0" applyNumberFormat="1" applyFont="1" applyFill="1" applyAlignment="1">
      <alignment horizontal="right" vertical="center"/>
    </xf>
    <xf numFmtId="0" fontId="43" fillId="38" borderId="0" xfId="0" applyFont="1" applyFill="1" applyAlignment="1">
      <alignment horizontal="right" vertical="center"/>
    </xf>
    <xf numFmtId="0" fontId="0" fillId="38" borderId="0" xfId="0" applyFill="1" applyAlignment="1">
      <alignment horizontal="right" vertical="center"/>
    </xf>
    <xf numFmtId="4" fontId="50" fillId="38" borderId="0" xfId="0" applyNumberFormat="1" applyFont="1" applyFill="1" applyAlignment="1">
      <alignment vertical="center"/>
    </xf>
    <xf numFmtId="0" fontId="50" fillId="38" borderId="0" xfId="0" applyFont="1" applyFill="1" applyAlignment="1">
      <alignment vertical="center"/>
    </xf>
    <xf numFmtId="3" fontId="50" fillId="38" borderId="0" xfId="0" applyNumberFormat="1" applyFont="1" applyFill="1" applyAlignment="1">
      <alignment horizontal="right" vertical="center"/>
    </xf>
    <xf numFmtId="4" fontId="50" fillId="38" borderId="0" xfId="0" applyNumberFormat="1" applyFont="1" applyFill="1" applyAlignment="1">
      <alignment horizontal="right" vertical="center"/>
    </xf>
    <xf numFmtId="0" fontId="50" fillId="38" borderId="0" xfId="0" applyFont="1" applyFill="1" applyAlignment="1">
      <alignment horizontal="right" vertical="center"/>
    </xf>
    <xf numFmtId="2" fontId="50" fillId="38" borderId="0" xfId="0" applyNumberFormat="1" applyFont="1" applyFill="1" applyAlignment="1">
      <alignment horizontal="right" vertical="center"/>
    </xf>
    <xf numFmtId="0" fontId="47" fillId="38" borderId="0" xfId="0" applyFont="1" applyFill="1">
      <alignment horizontal="left" vertical="center"/>
    </xf>
    <xf numFmtId="2" fontId="47" fillId="38" borderId="0" xfId="0" applyNumberFormat="1" applyFont="1" applyFill="1">
      <alignment horizontal="left" vertical="center"/>
    </xf>
    <xf numFmtId="0" fontId="65" fillId="0" borderId="0" xfId="120" applyFont="1">
      <alignment horizontal="left" vertical="center"/>
    </xf>
    <xf numFmtId="0" fontId="53" fillId="0" borderId="0" xfId="0" applyFont="1">
      <alignment horizontal="left" vertical="center"/>
    </xf>
    <xf numFmtId="0" fontId="47" fillId="0" borderId="12" xfId="0" applyFont="1" applyBorder="1" applyAlignment="1">
      <alignment horizontal="left"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118" applyFont="1" applyBorder="1" applyAlignment="1">
      <alignment vertical="center" wrapText="1"/>
    </xf>
    <xf numFmtId="0" fontId="47" fillId="0" borderId="19" xfId="0" applyFont="1" applyBorder="1" applyAlignment="1">
      <alignment horizontal="left" vertical="center" wrapText="1"/>
    </xf>
    <xf numFmtId="0" fontId="47" fillId="0" borderId="20" xfId="0" applyFont="1" applyBorder="1" applyAlignment="1">
      <alignment horizontal="left" vertical="center" wrapText="1"/>
    </xf>
    <xf numFmtId="0" fontId="50" fillId="0" borderId="20" xfId="119" applyFont="1" applyBorder="1" applyAlignment="1">
      <alignment horizontal="left" vertical="center" wrapText="1"/>
    </xf>
    <xf numFmtId="0" fontId="61" fillId="35" borderId="0" xfId="121" applyFont="1" applyFill="1" applyAlignment="1">
      <alignment horizontal="left" vertical="top" wrapText="1"/>
    </xf>
    <xf numFmtId="0" fontId="62" fillId="35" borderId="15" xfId="121" applyFont="1" applyFill="1" applyBorder="1" applyAlignment="1">
      <alignment vertical="center"/>
    </xf>
    <xf numFmtId="0" fontId="50" fillId="0" borderId="0" xfId="0" applyFont="1" applyAlignment="1">
      <alignment horizontal="left" vertical="center" wrapText="1"/>
    </xf>
    <xf numFmtId="0" fontId="66" fillId="0" borderId="0" xfId="120" applyFont="1" applyFill="1" applyAlignment="1"/>
  </cellXfs>
  <cellStyles count="166">
    <cellStyle name="20 % - Akzent1" xfId="11" builtinId="30" hidden="1"/>
    <cellStyle name="20 % - Akzent1" xfId="71" builtinId="30" customBuiltin="1"/>
    <cellStyle name="20 % - Akzent1 2" xfId="99" xr:uid="{D6DA12D7-6416-42AD-902E-94F74DE4622E}"/>
    <cellStyle name="20 % - Akzent1 2 2" xfId="145" xr:uid="{11D50882-1D15-4B5B-A147-8EF9DBDAB52E}"/>
    <cellStyle name="20 % - Akzent2" xfId="15" builtinId="34" hidden="1"/>
    <cellStyle name="20 % - Akzent2" xfId="75" builtinId="34" customBuiltin="1"/>
    <cellStyle name="20 % - Akzent2 2" xfId="102" xr:uid="{629EE318-FB0B-4025-9D0B-A004B7BFD9EE}"/>
    <cellStyle name="20 % - Akzent2 2 2" xfId="148" xr:uid="{FE5D480B-773B-4BC4-AFDA-2747AC4AC17F}"/>
    <cellStyle name="20 % - Akzent3" xfId="19" builtinId="38" hidden="1"/>
    <cellStyle name="20 % - Akzent3" xfId="79" builtinId="38" customBuiltin="1"/>
    <cellStyle name="20 % - Akzent3 2" xfId="105" xr:uid="{C882A08C-33A8-4F16-A215-B15EEB984859}"/>
    <cellStyle name="20 % - Akzent3 2 2" xfId="151" xr:uid="{F2404C60-4406-43A9-BF1C-696294343F83}"/>
    <cellStyle name="20 % - Akzent4" xfId="23" builtinId="42" hidden="1"/>
    <cellStyle name="20 % - Akzent4" xfId="83" builtinId="42" customBuiltin="1"/>
    <cellStyle name="20 % - Akzent4 2" xfId="108" xr:uid="{4DD13445-330A-47E4-BFA2-56DC1846863E}"/>
    <cellStyle name="20 % - Akzent4 2 2" xfId="154" xr:uid="{61C99811-D46B-4171-85AC-3115C675BAFC}"/>
    <cellStyle name="20 % - Akzent5" xfId="27" builtinId="46" hidden="1"/>
    <cellStyle name="20 % - Akzent5" xfId="87" builtinId="46" customBuiltin="1"/>
    <cellStyle name="20 % - Akzent5 2" xfId="111" xr:uid="{2E449A4B-7FEA-4FBA-B880-1A43A17FFD50}"/>
    <cellStyle name="20 % - Akzent5 2 2" xfId="157" xr:uid="{1C4E42F2-7C34-47AA-A7D1-066EBF08E53B}"/>
    <cellStyle name="20 % - Akzent6" xfId="31" builtinId="50" hidden="1"/>
    <cellStyle name="20 % - Akzent6" xfId="91" builtinId="50" customBuiltin="1"/>
    <cellStyle name="20 % - Akzent6 2" xfId="114" xr:uid="{CCBD4E80-0D23-485A-85E6-6FF2C13837B2}"/>
    <cellStyle name="20 % - Akzent6 2 2" xfId="160" xr:uid="{647A375F-B352-4D5F-B37B-8BC6CEC2FB77}"/>
    <cellStyle name="20% - Accent1 2" xfId="124" xr:uid="{E002B61F-0B99-4CCB-8642-4732238329D0}"/>
    <cellStyle name="20% - Accent2 2" xfId="127" xr:uid="{F5AF9F38-9453-4DB2-ACD8-ECF28BB48803}"/>
    <cellStyle name="20% - Accent3 2" xfId="130" xr:uid="{D65171BC-093C-4FDC-911B-1A99B297A83B}"/>
    <cellStyle name="20% - Accent4 2" xfId="133" xr:uid="{B3CE1D85-AEFA-4E37-AF09-247060C2647A}"/>
    <cellStyle name="20% - Accent5 2" xfId="136" xr:uid="{C24319E0-043A-457A-8EA5-23FC76795BD2}"/>
    <cellStyle name="20% - Accent6 2" xfId="139" xr:uid="{6C99A7B6-2FB4-43AC-828D-41560CE59BB4}"/>
    <cellStyle name="40 % - Akzent1" xfId="12" builtinId="31" hidden="1"/>
    <cellStyle name="40 % - Akzent1" xfId="72" builtinId="31" customBuiltin="1"/>
    <cellStyle name="40 % - Akzent1 2" xfId="100" xr:uid="{A329C113-8F53-4A7C-BA2F-73A24DD3F7B4}"/>
    <cellStyle name="40 % - Akzent1 2 2" xfId="146" xr:uid="{10F351C7-3F82-43EA-8064-B8C3BA73D70C}"/>
    <cellStyle name="40 % - Akzent2" xfId="16" builtinId="35" hidden="1"/>
    <cellStyle name="40 % - Akzent2" xfId="76" builtinId="35" customBuiltin="1"/>
    <cellStyle name="40 % - Akzent2 2" xfId="103" xr:uid="{C361F11D-3445-45BE-B439-794E45059D83}"/>
    <cellStyle name="40 % - Akzent2 2 2" xfId="149" xr:uid="{640AB1BB-F8AF-438F-9EB5-B3A312CF5DC3}"/>
    <cellStyle name="40 % - Akzent3" xfId="20" builtinId="39" hidden="1"/>
    <cellStyle name="40 % - Akzent3" xfId="80" builtinId="39" customBuiltin="1"/>
    <cellStyle name="40 % - Akzent3 2" xfId="106" xr:uid="{264583C0-1C0B-44C0-B40B-D3B5CBA9755E}"/>
    <cellStyle name="40 % - Akzent3 2 2" xfId="152" xr:uid="{AD6902A7-CDD8-4EC8-AF35-0FF5188BE7CE}"/>
    <cellStyle name="40 % - Akzent4" xfId="24" builtinId="43" hidden="1"/>
    <cellStyle name="40 % - Akzent4" xfId="84" builtinId="43" customBuiltin="1"/>
    <cellStyle name="40 % - Akzent4 2" xfId="109" xr:uid="{C617755B-A24C-493E-A6F7-3930AB37C8CD}"/>
    <cellStyle name="40 % - Akzent4 2 2" xfId="155" xr:uid="{293F910F-C2A2-42A5-97AA-EA0DE24D7418}"/>
    <cellStyle name="40 % - Akzent5" xfId="28" builtinId="47" hidden="1"/>
    <cellStyle name="40 % - Akzent5" xfId="88" builtinId="47" customBuiltin="1"/>
    <cellStyle name="40 % - Akzent5 2" xfId="112" xr:uid="{D898C68F-35AA-4798-8FDA-79139B6B8BA7}"/>
    <cellStyle name="40 % - Akzent5 2 2" xfId="158" xr:uid="{C3C026AF-8EC1-434B-9DD8-2CA69E7B7260}"/>
    <cellStyle name="40 % - Akzent6" xfId="32" builtinId="51" hidden="1"/>
    <cellStyle name="40 % - Akzent6" xfId="92" builtinId="51" customBuiltin="1"/>
    <cellStyle name="40 % - Akzent6 2" xfId="115" xr:uid="{21B25318-11E8-4AAA-B5BA-99894E7A41DC}"/>
    <cellStyle name="40 % - Akzent6 2 2" xfId="161" xr:uid="{E8AE9CAD-4E8D-4E25-B5C6-99856D3D1879}"/>
    <cellStyle name="40% - Accent1 2" xfId="125" xr:uid="{A6A8E88C-6697-403B-A5C5-193836C812E5}"/>
    <cellStyle name="40% - Accent2 2" xfId="128" xr:uid="{0085B315-D0D7-445F-B0F6-8A69A9377D1D}"/>
    <cellStyle name="40% - Accent3 2" xfId="131" xr:uid="{42789125-D0FD-4E37-97CA-34FF97778154}"/>
    <cellStyle name="40% - Accent4 2" xfId="134" xr:uid="{1B85AA74-6468-4BB4-89E4-8487C56A6C15}"/>
    <cellStyle name="40% - Accent5 2" xfId="137" xr:uid="{75B8E13A-94EC-49E1-BCB3-3DE1DAA42532}"/>
    <cellStyle name="40% - Accent6 2" xfId="140" xr:uid="{8BF18F38-A910-435D-82B3-263BA335E875}"/>
    <cellStyle name="60 % - Akzent1" xfId="13" builtinId="32" hidden="1"/>
    <cellStyle name="60 % - Akzent1" xfId="73" builtinId="32" customBuiltin="1"/>
    <cellStyle name="60 % - Akzent1 2" xfId="101" xr:uid="{C66B1E39-1050-4EC7-9677-F813D976F37A}"/>
    <cellStyle name="60 % - Akzent1 2 2" xfId="147" xr:uid="{2FD682BF-40A7-4385-A3E6-89CE01023126}"/>
    <cellStyle name="60 % - Akzent2" xfId="17" builtinId="36" hidden="1"/>
    <cellStyle name="60 % - Akzent2" xfId="77" builtinId="36" customBuiltin="1"/>
    <cellStyle name="60 % - Akzent2 2" xfId="104" xr:uid="{5DDD4E1D-BF5C-4251-BA54-960F85FD2675}"/>
    <cellStyle name="60 % - Akzent2 2 2" xfId="150" xr:uid="{BA973F43-DF8D-448B-8FEA-56969BB6BCFD}"/>
    <cellStyle name="60 % - Akzent3" xfId="21" builtinId="40" hidden="1"/>
    <cellStyle name="60 % - Akzent3" xfId="81" builtinId="40" customBuiltin="1"/>
    <cellStyle name="60 % - Akzent3 2" xfId="107" xr:uid="{419F58DC-CC1B-4346-8725-C8595AEC4277}"/>
    <cellStyle name="60 % - Akzent3 2 2" xfId="153" xr:uid="{0CC1DB01-6013-4829-B972-08639B5BF58B}"/>
    <cellStyle name="60 % - Akzent4" xfId="25" builtinId="44" hidden="1"/>
    <cellStyle name="60 % - Akzent4" xfId="85" builtinId="44" customBuiltin="1"/>
    <cellStyle name="60 % - Akzent4 2" xfId="110" xr:uid="{FAA7032E-CEBE-4046-A58F-7C56F548FD27}"/>
    <cellStyle name="60 % - Akzent4 2 2" xfId="156" xr:uid="{A8E2563B-C375-44B7-AB19-B1F4D3718428}"/>
    <cellStyle name="60 % - Akzent5" xfId="29" builtinId="48" hidden="1"/>
    <cellStyle name="60 % - Akzent5" xfId="89" builtinId="48" customBuiltin="1"/>
    <cellStyle name="60 % - Akzent5 2" xfId="113" xr:uid="{EBE8A554-FBFC-426A-9DB8-9217C308AF0F}"/>
    <cellStyle name="60 % - Akzent5 2 2" xfId="159" xr:uid="{2C7FAA59-2FC1-4F32-A039-03720626F63C}"/>
    <cellStyle name="60 % - Akzent6" xfId="33" builtinId="52" hidden="1"/>
    <cellStyle name="60 % - Akzent6" xfId="93" builtinId="52" customBuiltin="1"/>
    <cellStyle name="60 % - Akzent6 2" xfId="116" xr:uid="{A2E337EF-BDD0-4923-ABBC-907093C78FB6}"/>
    <cellStyle name="60 % - Akzent6 2 2" xfId="162" xr:uid="{C6070C4B-84EF-42EA-8A19-0B432DD2795F}"/>
    <cellStyle name="60% - Accent1 2" xfId="126" xr:uid="{C14B8FF4-AA55-4209-9D8D-981B0F8A3874}"/>
    <cellStyle name="60% - Accent2 2" xfId="129" xr:uid="{FC6EF28E-8A33-49C8-BB5C-CB4D8C887399}"/>
    <cellStyle name="60% - Accent3 2" xfId="132" xr:uid="{086677C2-0D31-4F0F-8CEC-EABB02C889FE}"/>
    <cellStyle name="60% - Accent4 2" xfId="135" xr:uid="{604E88DC-32B0-4CCF-903D-C6A7E8C74142}"/>
    <cellStyle name="60% - Accent5 2" xfId="138" xr:uid="{B72889A2-D7A8-481C-81A9-FF2B43E3724E}"/>
    <cellStyle name="60% - Accent6 2" xfId="141" xr:uid="{9932BE6A-418F-4789-84D5-759C399E6A22}"/>
    <cellStyle name="Akzent1" xfId="10" builtinId="29" hidden="1"/>
    <cellStyle name="Akzent1" xfId="70" builtinId="29" customBuiltin="1"/>
    <cellStyle name="Akzent2" xfId="14" builtinId="33" hidden="1"/>
    <cellStyle name="Akzent2" xfId="74" builtinId="33" customBuiltin="1"/>
    <cellStyle name="Akzent3" xfId="18" builtinId="37" hidden="1"/>
    <cellStyle name="Akzent3" xfId="78" builtinId="37" customBuiltin="1"/>
    <cellStyle name="Akzent4" xfId="22" builtinId="41" hidden="1"/>
    <cellStyle name="Akzent4" xfId="82" builtinId="41" customBuiltin="1"/>
    <cellStyle name="Akzent5" xfId="26" builtinId="45" hidden="1"/>
    <cellStyle name="Akzent5" xfId="86" builtinId="45" customBuiltin="1"/>
    <cellStyle name="Akzent6" xfId="30" builtinId="49" hidden="1"/>
    <cellStyle name="Akzent6" xfId="90" builtinId="49" customBuiltin="1"/>
    <cellStyle name="Ausgabe" xfId="38" builtinId="21" hidden="1"/>
    <cellStyle name="Ausgabe" xfId="62" builtinId="21" customBuiltin="1"/>
    <cellStyle name="Berechnung" xfId="39" builtinId="22" hidden="1"/>
    <cellStyle name="Berechnung" xfId="63" builtinId="22" customBuiltin="1"/>
    <cellStyle name="Dezimal [0]" xfId="46" builtinId="6" hidden="1"/>
    <cellStyle name="Eingabe" xfId="37" builtinId="20" hidden="1"/>
    <cellStyle name="Eingabe" xfId="61" builtinId="20" customBuiltin="1"/>
    <cellStyle name="Ergebnis" xfId="9" builtinId="25" hidden="1"/>
    <cellStyle name="Ergebnis" xfId="35" builtinId="25" hidden="1"/>
    <cellStyle name="Ergebnis" xfId="69" builtinId="25" customBuiltin="1"/>
    <cellStyle name="Erklärender Text" xfId="44" builtinId="53" hidden="1"/>
    <cellStyle name="Erklärender Text" xfId="68" builtinId="53" customBuiltin="1"/>
    <cellStyle name="Gut" xfId="6" builtinId="26" hidden="1"/>
    <cellStyle name="Gut" xfId="58" builtinId="26" customBuiltin="1"/>
    <cellStyle name="Hyperlink 2" xfId="119" xr:uid="{FE999AEC-9CCB-4B03-8A98-1044548951EB}"/>
    <cellStyle name="Komma" xfId="45" builtinId="3" hidden="1"/>
    <cellStyle name="Link" xfId="120" builtinId="8"/>
    <cellStyle name="Neutral" xfId="8" builtinId="28" hidden="1"/>
    <cellStyle name="Neutral" xfId="60" builtinId="28" customBuiltin="1"/>
    <cellStyle name="Normal 18" xfId="95" xr:uid="{E052EC5D-EDFF-4317-B563-32E78FA1F8F0}"/>
    <cellStyle name="Normal 18 2" xfId="142" xr:uid="{39C5EA59-750A-4AA5-AB35-273165E9FD54}"/>
    <cellStyle name="Normal 2" xfId="52" xr:uid="{81DA3E56-F4BD-4D22-AEE9-EC2E70631510}"/>
    <cellStyle name="Normal 2 2" xfId="94" xr:uid="{82D4152A-A763-44D8-B992-C26E20FE6FD6}"/>
    <cellStyle name="Normal 2 3" xfId="117" xr:uid="{C36C3735-891F-4C2E-9976-E2DCE5F24E99}"/>
    <cellStyle name="Normal 2 3 2" xfId="163" xr:uid="{FD25F929-5A49-414D-81FC-07CED9512CB8}"/>
    <cellStyle name="Normal 2 4" xfId="122" xr:uid="{27239914-14D8-4DE5-B3AB-4AC73F5B5F0B}"/>
    <cellStyle name="Normal 3" xfId="118" xr:uid="{D04EFE64-3268-43C3-9B7C-C0A6160870FE}"/>
    <cellStyle name="Normal 3 2" xfId="164" xr:uid="{E27D3A54-FE5E-4F23-ACDC-FC0D94DA6AB6}"/>
    <cellStyle name="Normal 33" xfId="96" xr:uid="{2061600D-1C80-4297-B6F2-DF4FC4B90181}"/>
    <cellStyle name="Normal 4" xfId="121" xr:uid="{D22DDC7E-A000-4964-8833-29C7DF499A99}"/>
    <cellStyle name="Normal 4 2" xfId="165" xr:uid="{C203CFEC-97F1-4C3D-8313-944A7FA1987C}"/>
    <cellStyle name="Note 2" xfId="123" xr:uid="{57A87A09-A909-4591-A90B-AAC47BC00087}"/>
    <cellStyle name="Notiz" xfId="43" builtinId="10" hidden="1"/>
    <cellStyle name="Notiz" xfId="67" builtinId="10" customBuiltin="1"/>
    <cellStyle name="Notiz 2" xfId="98" xr:uid="{8150B4FE-878C-4634-A68B-53FBE80B46E2}"/>
    <cellStyle name="Notiz 2 2" xfId="144" xr:uid="{439965BA-AC99-498E-A1C9-8D8E8B7ABFCF}"/>
    <cellStyle name="Prozent" xfId="49" builtinId="5" hidden="1"/>
    <cellStyle name="Quellenangabe" xfId="50" xr:uid="{00000000-0005-0000-0000-000026000000}"/>
    <cellStyle name="Schlecht" xfId="7" builtinId="27" hidden="1"/>
    <cellStyle name="Schlecht" xfId="59" builtinId="27" customBuiltin="1"/>
    <cellStyle name="Standard" xfId="0" builtinId="0" customBuiltin="1"/>
    <cellStyle name="Standard 2" xfId="97" xr:uid="{ADC5EED1-CF81-426A-8341-779C3F94F971}"/>
    <cellStyle name="Standard 2 2" xfId="143" xr:uid="{490BEBE9-38C0-480C-BA96-2C999B68BF0A}"/>
    <cellStyle name="Standard Links" xfId="51" xr:uid="{00000000-0005-0000-0000-000029000000}"/>
    <cellStyle name="Standard Mittig" xfId="36" xr:uid="{00000000-0005-0000-0000-00002A000000}"/>
    <cellStyle name="Titel" xfId="34" xr:uid="{00000000-0005-0000-0000-00002B000000}"/>
    <cellStyle name="Überschrift" xfId="1" builtinId="15" hidden="1"/>
    <cellStyle name="Überschrift" xfId="53" builtinId="15" customBuiltin="1"/>
    <cellStyle name="Überschrift 1" xfId="2" builtinId="16" hidden="1"/>
    <cellStyle name="Überschrift 1" xfId="54" builtinId="16" customBuiltin="1"/>
    <cellStyle name="Überschrift 2" xfId="3" builtinId="17" hidden="1"/>
    <cellStyle name="Überschrift 2" xfId="55" builtinId="17" customBuiltin="1"/>
    <cellStyle name="Überschrift 3" xfId="4" builtinId="18" hidden="1"/>
    <cellStyle name="Überschrift 3" xfId="56" builtinId="18" customBuiltin="1"/>
    <cellStyle name="Überschrift 4" xfId="5" builtinId="19" hidden="1"/>
    <cellStyle name="Überschrift 4" xfId="57" builtinId="19" customBuiltin="1"/>
    <cellStyle name="Verknüpfte Zelle" xfId="40" builtinId="24" hidden="1"/>
    <cellStyle name="Verknüpfte Zelle" xfId="64" builtinId="24" customBuiltin="1"/>
    <cellStyle name="Währung" xfId="47" builtinId="4" hidden="1"/>
    <cellStyle name="Währung [0]" xfId="48" builtinId="7" hidden="1"/>
    <cellStyle name="Warnender Text" xfId="42" builtinId="11" hidden="1"/>
    <cellStyle name="Warnender Text" xfId="66" builtinId="11" customBuiltin="1"/>
    <cellStyle name="Zelle überprüfen" xfId="41" builtinId="23" hidden="1"/>
    <cellStyle name="Zelle überprüfen" xfId="65" builtinId="23" customBuiltin="1"/>
  </cellStyles>
  <dxfs count="189">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left" vertical="center" textRotation="0" wrapText="0" indent="0" justifyLastLine="0" shrinkToFit="0" readingOrder="0"/>
    </dxf>
    <dxf>
      <border outline="0">
        <top style="medium">
          <color indexed="64"/>
        </top>
      </border>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lef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theme="0"/>
        <name val="Calibri"/>
        <family val="2"/>
        <scheme val="none"/>
      </font>
      <numFmt numFmtId="4" formatCode="#,##0.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none"/>
      </font>
      <alignment horizontal="left" vertical="center" textRotation="0" wrapText="1" indent="0" justifyLastLine="0" shrinkToFit="0" readingOrder="0"/>
    </dxf>
    <dxf>
      <font>
        <strike val="0"/>
        <outline val="0"/>
        <shadow val="0"/>
        <u val="none"/>
        <vertAlign val="baseline"/>
        <sz val="10"/>
        <color theme="1"/>
        <name val="Calibri"/>
        <family val="2"/>
        <scheme val="none"/>
      </font>
      <alignment horizontal="left" vertical="center" textRotation="0" wrapText="1" indent="0" justifyLastLine="0" shrinkToFit="0" readingOrder="0"/>
    </dxf>
    <dxf>
      <font>
        <strike val="0"/>
        <outline val="0"/>
        <shadow val="0"/>
        <u val="none"/>
        <vertAlign val="baseline"/>
        <sz val="10"/>
        <color theme="1"/>
        <name val="Calibri"/>
        <family val="2"/>
        <scheme val="none"/>
      </font>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4"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0" indent="0" justifyLastLine="0" shrinkToFit="0" readingOrder="0"/>
    </dxf>
    <dxf>
      <border outline="0">
        <left style="medium">
          <color indexed="64"/>
        </left>
        <top style="medium">
          <color indexed="64"/>
        </top>
        <bottom style="medium">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righ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theme="2"/>
        <name val="Calibri"/>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none"/>
      </font>
      <numFmt numFmtId="0" formatCode="General"/>
      <alignment horizontal="general"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0"/>
        <color theme="1"/>
        <name val="Calibri"/>
        <family val="2"/>
        <scheme val="none"/>
      </font>
      <numFmt numFmtId="0" formatCode="General"/>
      <alignment horizontal="general"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0"/>
        <color theme="1"/>
        <name val="Calibri"/>
        <family val="2"/>
        <scheme val="none"/>
      </font>
      <numFmt numFmtId="0" formatCode="General"/>
      <alignment horizontal="general" vertical="center" textRotation="0" wrapText="1"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none"/>
      </font>
      <fill>
        <patternFill patternType="solid">
          <fgColor theme="4"/>
          <bgColor theme="4"/>
        </patternFill>
      </fill>
      <alignment vertical="center" textRotation="0" wrapText="1" indent="0" justifyLastLine="0" shrinkToFit="0" readingOrder="0"/>
    </dxf>
  </dxfs>
  <tableStyles count="0" defaultTableStyle="TableStyleMedium2" defaultPivotStyle="PivotStyleLight16"/>
  <colors>
    <mruColors>
      <color rgb="FF006057"/>
      <color rgb="FF98B721"/>
      <color rgb="FF88BB3C"/>
      <color rgb="FFD2DDE4"/>
      <color rgb="FF727272"/>
      <color rgb="FF9ABBCA"/>
      <color rgb="FF0C0C0C"/>
      <color rgb="FFC4DF9D"/>
      <color rgb="FFF0F7E5"/>
      <color rgb="FF914E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901561</xdr:colOff>
      <xdr:row>0</xdr:row>
      <xdr:rowOff>8283</xdr:rowOff>
    </xdr:from>
    <xdr:to>
      <xdr:col>9</xdr:col>
      <xdr:colOff>0</xdr:colOff>
      <xdr:row>4</xdr:row>
      <xdr:rowOff>37975</xdr:rowOff>
    </xdr:to>
    <xdr:pic>
      <xdr:nvPicPr>
        <xdr:cNvPr id="2" name="Grafik 2">
          <a:extLst>
            <a:ext uri="{FF2B5EF4-FFF2-40B4-BE49-F238E27FC236}">
              <a16:creationId xmlns:a16="http://schemas.microsoft.com/office/drawing/2014/main" id="{C5339E07-8F13-4D5C-8C0C-F40BAAA1E0B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47689" t="41936"/>
        <a:stretch/>
      </xdr:blipFill>
      <xdr:spPr>
        <a:xfrm>
          <a:off x="5324474" y="8283"/>
          <a:ext cx="1906243" cy="7568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C30E0C1-27B1-4281-B6BB-F8E337F34881}" name="Reference_SPC" displayName="Reference_SPC" ref="A14:C56" totalsRowShown="0" headerRowDxfId="188" dataDxfId="187" tableBorderDxfId="186" dataCellStyle="Normal 3">
  <autoFilter ref="A14:C56" xr:uid="{AC30E0C1-27B1-4281-B6BB-F8E337F34881}"/>
  <tableColumns count="3">
    <tableColumn id="1" xr3:uid="{A812325E-92F4-4776-BF32-3DD683FBEE1A}" name="Sheet: SPC_data" dataDxfId="185" dataCellStyle="Normal 3"/>
    <tableColumn id="2" xr3:uid="{7C32A3B5-77C6-44E4-A655-9BCF2049EDF2}" name="Link" dataDxfId="184" dataCellStyle="Normal 3"/>
    <tableColumn id="3" xr3:uid="{3B20E714-912E-4D55-84BA-992CFFB4BC75}" name="Remark" dataDxfId="183" dataCellStyle="Normal 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4D71A8-E1B1-490F-937B-2B5C95B15A5B}" name="Metadata_country" displayName="Metadata_country" ref="A2:C80" totalsRowShown="0" headerRowDxfId="182" dataDxfId="180" headerRowBorderDxfId="181" tableBorderDxfId="179" totalsRowBorderDxfId="178">
  <autoFilter ref="A2:C80" xr:uid="{254D71A8-E1B1-490F-937B-2B5C95B15A5B}"/>
  <tableColumns count="3">
    <tableColumn id="1" xr3:uid="{DDE80C4E-2917-48E9-8C8A-79031F771CAC}" name="Code" dataDxfId="177"/>
    <tableColumn id="2" xr3:uid="{F92B92E6-8F80-445A-9D66-E9D0ADBAAEA0}" name="Unit" dataDxfId="176"/>
    <tableColumn id="3" xr3:uid="{97A382BF-E5F8-4453-BB8E-46D3150DA2A5}" name="Description" dataDxfId="175"/>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2F75B4-468B-438F-AAF3-CB1F7D685C61}" name="Data_country" displayName="Data_country" ref="A2:BV32" totalsRowShown="0" headerRowDxfId="174" dataDxfId="172" headerRowBorderDxfId="173" tableBorderDxfId="171">
  <autoFilter ref="A2:BV32" xr:uid="{BD2F75B4-468B-438F-AAF3-CB1F7D685C61}"/>
  <tableColumns count="74">
    <tableColumn id="1" xr3:uid="{3746C0C3-DE93-4FC0-BD7B-F1A2FA290CC1}" name="country" dataDxfId="170"/>
    <tableColumn id="2" xr3:uid="{2B704BBE-D2B6-4845-B29D-0D00BB85D968}" name="year" dataDxfId="169"/>
    <tableColumn id="3" xr3:uid="{7E1AC088-C388-4E15-B18F-7ACC13A6E302}" name="gdp" dataDxfId="168"/>
    <tableColumn id="4" xr3:uid="{B11AC659-8EA6-4792-824B-068C27140129}" name="population" dataDxfId="167"/>
    <tableColumn id="80" xr3:uid="{AFB842FC-41E8-44AD-ABA0-A4DA03F19378}" name="gdp_capita" dataDxfId="166">
      <calculatedColumnFormula>Data_country[[#This Row],[gdp]]/Data_country[[#This Row],[population]]</calculatedColumnFormula>
    </tableColumn>
    <tableColumn id="5" xr3:uid="{88E6330F-75A9-4F59-9597-EF088C2CD901}" name="co2_total" dataDxfId="165"/>
    <tableColumn id="81" xr3:uid="{EBF38959-7CA2-42C8-8059-D3528C301BEA}" name="co2_capita" dataDxfId="164">
      <calculatedColumnFormula>Data_country[[#This Row],[co2_total]]/Data_country[[#This Row],[population]]</calculatedColumnFormula>
    </tableColumn>
    <tableColumn id="77" xr3:uid="{90FBC72E-19F6-42E9-8C7D-5A9FE9DB067D}" name="co2_power_fossil" dataDxfId="163"/>
    <tableColumn id="79" xr3:uid="{4C661CBC-9DAD-4762-A4D1-EEB5B33BD105}" name="co2_power_total_pc" dataDxfId="162">
      <calculatedColumnFormula>Data_country[[#This Row],[co2_power_fossil]]/Data_country[[#This Row],[co2_total]]*100</calculatedColumnFormula>
    </tableColumn>
    <tableColumn id="76" xr3:uid="{016028D0-8B60-4DF9-92B5-723C8B4C1541}" name="co2_power_world_pc" dataDxfId="161">
      <calculatedColumnFormula>Data_country[[#This Row],[co2_power_fossil]]/13494.95*100</calculatedColumnFormula>
    </tableColumn>
    <tableColumn id="83" xr3:uid="{CB2E79BD-6AA1-4B19-AC96-E4B0364E1911}" name="electrification_pc" dataDxfId="160"/>
    <tableColumn id="6" xr3:uid="{170D5E7C-38BF-4709-A581-B12300230669}" name="pricon_total" dataDxfId="159"/>
    <tableColumn id="7" xr3:uid="{FFB00506-DE5A-48CE-B762-95596AF2B6D2}" name="pricon_oil" dataDxfId="158"/>
    <tableColumn id="8" xr3:uid="{BA5C4096-957A-49B8-99A5-DAFA955D5A59}" name="pricon_gas" dataDxfId="157"/>
    <tableColumn id="9" xr3:uid="{216F78C8-429A-41D8-A1FA-687BE39D4350}" name="pricon_coal" dataDxfId="156"/>
    <tableColumn id="10" xr3:uid="{FC8988F0-A825-4214-9CCD-56DC1FFA79AE}" name="pricon_nuc" dataDxfId="155"/>
    <tableColumn id="11" xr3:uid="{045144F9-7CA6-404C-A6B1-925AFFB13C19}" name="pricon_h2o" dataDxfId="154"/>
    <tableColumn id="12" xr3:uid="{5662D1D8-EC94-4CEA-8351-5B0B698E76C7}" name="pricon_re" dataDxfId="153"/>
    <tableColumn id="14" xr3:uid="{1AD23F89-FDDE-4843-9139-7512A6E588F8}" name="pricon_oil_pc" dataDxfId="152">
      <calculatedColumnFormula>M3/L3*100</calculatedColumnFormula>
    </tableColumn>
    <tableColumn id="15" xr3:uid="{BE672251-6BAA-4D0B-A4B1-B3684BA64AD4}" name="pricon_gas_pc" dataDxfId="151">
      <calculatedColumnFormula>N3/L3*100</calculatedColumnFormula>
    </tableColumn>
    <tableColumn id="16" xr3:uid="{BA7EB12C-DD7A-4A86-A3C7-46975AE6D077}" name="pricon_coal_pc" dataDxfId="150">
      <calculatedColumnFormula>O3/L3*100</calculatedColumnFormula>
    </tableColumn>
    <tableColumn id="17" xr3:uid="{2D7DD01E-DB6C-491B-A9CE-79C075E5C76F}" name="pricon_nuc_pc" dataDxfId="149">
      <calculatedColumnFormula>P3/L3*100</calculatedColumnFormula>
    </tableColumn>
    <tableColumn id="18" xr3:uid="{1CB04B81-599E-40F6-BF3D-781CA90BBE6A}" name="pricon_h2o_pc" dataDxfId="148">
      <calculatedColumnFormula>Q3/L3*100</calculatedColumnFormula>
    </tableColumn>
    <tableColumn id="19" xr3:uid="{167C131B-22D9-4CF8-9C29-B420CC82D17A}" name="pricon_re_pc" dataDxfId="147">
      <calculatedColumnFormula>R3/L3*100</calculatedColumnFormula>
    </tableColumn>
    <tableColumn id="21" xr3:uid="{6635EEA2-5144-47CC-A87A-2B581690CF0C}" name="pro_gas" dataDxfId="146"/>
    <tableColumn id="78" xr3:uid="{848AB4F8-8967-4663-B30A-1632BBE06702}" name="pro_coal" dataDxfId="145"/>
    <tableColumn id="82" xr3:uid="{BFCAA1A8-FFC2-4046-B35B-A16861D21B14}" name="depend_gas_pc" dataDxfId="144">
      <calculatedColumnFormula>(1-Data_country[[#This Row],[pro_gas]]/Data_country[[#This Row],[pricon_gas]])*100</calculatedColumnFormula>
    </tableColumn>
    <tableColumn id="84" xr3:uid="{B019EE86-7705-4440-9461-BE01312F0A00}" name="depend_coal_pc" dataDxfId="143"/>
    <tableColumn id="22" xr3:uid="{C1232319-2326-4DC6-A401-E58E9F240769}" name="ic_total" dataDxfId="142">
      <calculatedColumnFormula>Data_country[[#This Row],[ic_gas]]+Data_country[[#This Row],[ic_coal]]+Data_country[[#This Row],[ic_other_fossil]]+Data_country[[#This Row],[ic_nuc]]+Data_country[[#This Row],[ic_h2o]]+Data_country[[#This Row],[ic_wind]]+Data_country[[#This Row],[ic_solar]]+Data_country[[#This Row],[ic_bio]]+Data_country[[#This Row],[ic_other_re]]</calculatedColumnFormula>
    </tableColumn>
    <tableColumn id="26" xr3:uid="{6E7F9980-0A09-472F-84ED-2255551B704A}" name="ic_fossil" dataDxfId="141">
      <calculatedColumnFormula>SUM(AF3:AG3)</calculatedColumnFormula>
    </tableColumn>
    <tableColumn id="24" xr3:uid="{D69ED1B0-6143-483C-A56E-985C26C432BF}" name="ic_gas" dataDxfId="140"/>
    <tableColumn id="23" xr3:uid="{1519BB8C-5295-453D-823D-05598FE1CC33}" name="ic_coal" dataDxfId="139"/>
    <tableColumn id="25" xr3:uid="{7609B66E-7E01-4603-977D-589002897F9E}" name="ic_other_fossil" dataDxfId="138"/>
    <tableColumn id="27" xr3:uid="{13603D7A-7DC1-4AE3-B2A2-6668F3AC1B35}" name="ic_nuc" dataDxfId="137"/>
    <tableColumn id="33" xr3:uid="{AA32BD4E-79D2-40C5-B665-021D24BC68C8}" name="ic_re" dataDxfId="136">
      <calculatedColumnFormula>SUM(AK3:AN3)</calculatedColumnFormula>
    </tableColumn>
    <tableColumn id="28" xr3:uid="{94EB7E05-5677-4665-A2AB-A16411E1E020}" name="ic_h2o" dataDxfId="135"/>
    <tableColumn id="29" xr3:uid="{CBF289F6-72B3-4EEA-9A87-8F078510BF9C}" name="ic_wind" dataDxfId="134"/>
    <tableColumn id="30" xr3:uid="{CD35C28E-1489-4931-8157-8BAF482E224E}" name="ic_solar" dataDxfId="133"/>
    <tableColumn id="31" xr3:uid="{C0861D8A-2B62-403F-86F5-CF4EF53C75C9}" name="ic_bio" dataDxfId="132"/>
    <tableColumn id="32" xr3:uid="{56C600ED-97A6-47C0-9A04-D4854CB274D2}" name="ic_other_re" dataDxfId="131"/>
    <tableColumn id="39" xr3:uid="{F6751C88-63AA-4FB5-BEEF-73FC6495319B}" name="ic_fossil_pc" dataDxfId="130">
      <calculatedColumnFormula>Data_country[[#This Row],[ic_fossil]]/Data_country[[#This Row],[ic_total]]*100</calculatedColumnFormula>
    </tableColumn>
    <tableColumn id="37" xr3:uid="{F473F050-53E5-490C-9282-9647B3C26C28}" name="ic_gas_pc" dataDxfId="129">
      <calculatedColumnFormula>Data_country[[#This Row],[ic_gas]]/Data_country[[#This Row],[ic_total]]*100</calculatedColumnFormula>
    </tableColumn>
    <tableColumn id="36" xr3:uid="{8F2F4B76-F28A-4674-9C0A-D6E4A4A2889A}" name="ic_coal_pc" dataDxfId="128">
      <calculatedColumnFormula>Data_country[[#This Row],[ic_coal]]/Data_country[[#This Row],[ic_total]]*100</calculatedColumnFormula>
    </tableColumn>
    <tableColumn id="38" xr3:uid="{39C0473F-0516-45AF-A8B8-D1B7626D3A57}" name="ic_other_fossil_pc" dataDxfId="127">
      <calculatedColumnFormula>Data_country[[#This Row],[ic_other_fossil]]/Data_country[[#This Row],[ic_total]]*100</calculatedColumnFormula>
    </tableColumn>
    <tableColumn id="40" xr3:uid="{2FB0B568-2368-4393-B19F-59064528D0BD}" name="ic_nuc_pc" dataDxfId="126">
      <calculatedColumnFormula>Data_country[[#This Row],[ic_nuc]]/Data_country[[#This Row],[ic_total]]*100</calculatedColumnFormula>
    </tableColumn>
    <tableColumn id="46" xr3:uid="{8C6E317F-33BF-4A01-9329-B3AF67D813C1}" name="ic_re_pc" dataDxfId="125">
      <calculatedColumnFormula>Data_country[[#This Row],[ic_re]]/Data_country[[#This Row],[ic_total]]*100</calculatedColumnFormula>
    </tableColumn>
    <tableColumn id="41" xr3:uid="{C234C15B-929B-4A1B-B230-FA3C087DC2BA}" name="ic_h2o_pc" dataDxfId="124">
      <calculatedColumnFormula>Data_country[[#This Row],[ic_h2o]]/Data_country[[#This Row],[ic_total]]*100</calculatedColumnFormula>
    </tableColumn>
    <tableColumn id="42" xr3:uid="{BB15C25D-128B-40BC-B9F0-4959C04D7DDF}" name="ic_wind_pc" dataDxfId="123">
      <calculatedColumnFormula>Data_country[[#This Row],[ic_wind]]/Data_country[[#This Row],[ic_total]]*100</calculatedColumnFormula>
    </tableColumn>
    <tableColumn id="43" xr3:uid="{5AFDD5E1-04DF-4487-91E7-6B9C619EB766}" name="ic_solar_pc" dataDxfId="122">
      <calculatedColumnFormula>Data_country[[#This Row],[ic_solar]]/Data_country[[#This Row],[ic_total]]*100</calculatedColumnFormula>
    </tableColumn>
    <tableColumn id="44" xr3:uid="{3EA4E1F9-33A3-4F4E-9D73-F421892ACE4F}" name="ic_bio_pc" dataDxfId="121">
      <calculatedColumnFormula>Data_country[[#This Row],[ic_bio]]/Data_country[[#This Row],[ic_total]]*100</calculatedColumnFormula>
    </tableColumn>
    <tableColumn id="45" xr3:uid="{E1B131CC-C43E-46D8-9AF4-0E369D990787}" name="ic_other_re_pc" dataDxfId="120">
      <calculatedColumnFormula>Data_country[[#This Row],[ic_other_re]]/Data_country[[#This Row],[ic_total]]*100</calculatedColumnFormula>
    </tableColumn>
    <tableColumn id="49" xr3:uid="{2AE1F9D4-5F55-48EE-A36F-4DB848842FF9}" name="gen_total" dataDxfId="119"/>
    <tableColumn id="53" xr3:uid="{020CC364-0004-457B-B856-55A2977C5B8B}" name="gen_fossil" dataDxfId="118"/>
    <tableColumn id="51" xr3:uid="{25F25D9A-4229-47FD-85A3-858CCE16DD5B}" name="gen_gas" dataDxfId="117"/>
    <tableColumn id="50" xr3:uid="{75979DE4-EC52-4512-933D-45DF7735D2C6}" name="gen_coal" dataDxfId="116"/>
    <tableColumn id="52" xr3:uid="{9F53E2D8-D8E7-4C79-8EDE-B808CCD29D85}" name="gen_other_fossil" dataDxfId="115"/>
    <tableColumn id="54" xr3:uid="{780B0696-CD09-453E-86E2-48D8CD451CA5}" name="gen_nuc" dataDxfId="114"/>
    <tableColumn id="60" xr3:uid="{2911BEDE-F901-4FDF-92B5-D4F154BE89BC}" name="gen_re" dataDxfId="113"/>
    <tableColumn id="55" xr3:uid="{F62BB663-C200-47B7-86C2-F81B54CBDECC}" name="gen_h2o" dataDxfId="112"/>
    <tableColumn id="56" xr3:uid="{7DE073D2-1AA1-4742-B549-0E4E1F028529}" name="gen_wind" dataDxfId="111"/>
    <tableColumn id="57" xr3:uid="{9E89970C-6892-4C57-8100-25D74641EA9B}" name="gen_solar" dataDxfId="110"/>
    <tableColumn id="58" xr3:uid="{BDC8C0F7-78C0-4FFE-A245-D51D8F03A4FF}" name="gen_bio" dataDxfId="109"/>
    <tableColumn id="59" xr3:uid="{878CC650-E874-422D-93AA-920017BE30C3}" name="gen_other_re" dataDxfId="108"/>
    <tableColumn id="66" xr3:uid="{9E08FB47-4F76-4941-98AA-9931B57B157F}" name="gen_fossil_pc" dataDxfId="107">
      <calculatedColumnFormula>Data_country[[#This Row],[gen_fossil]]/Data_country[[#This Row],[gen_total]]*100</calculatedColumnFormula>
    </tableColumn>
    <tableColumn id="64" xr3:uid="{19143A4B-E70C-4B76-837E-622A7769897A}" name="gen_gas_pc" dataDxfId="106">
      <calculatedColumnFormula>Data_country[[#This Row],[gen_gas]]/Data_country[[#This Row],[gen_total]]*100</calculatedColumnFormula>
    </tableColumn>
    <tableColumn id="63" xr3:uid="{44D451EA-6792-4626-9903-F76E9E002EA3}" name="gen_coal_pc" dataDxfId="105">
      <calculatedColumnFormula>Data_country[[#This Row],[gen_coal]]/Data_country[[#This Row],[gen_total]]*100</calculatedColumnFormula>
    </tableColumn>
    <tableColumn id="65" xr3:uid="{14F3865A-C864-4EFC-B895-DA6FABE9DB80}" name="gen_other_fossil_pc" dataDxfId="104">
      <calculatedColumnFormula>Data_country[[#This Row],[gen_other_fossil]]/Data_country[[#This Row],[gen_total]]*100</calculatedColumnFormula>
    </tableColumn>
    <tableColumn id="67" xr3:uid="{E35E97C4-7431-4227-8464-C774332B6F3D}" name="gen_nuc_pc" dataDxfId="103">
      <calculatedColumnFormula>Data_country[[#This Row],[gen_nuc]]/Data_country[[#This Row],[gen_total]]*100</calculatedColumnFormula>
    </tableColumn>
    <tableColumn id="73" xr3:uid="{0A11624E-4459-400E-933C-7F0EEBD818A8}" name="gen_re_pc" dataDxfId="102">
      <calculatedColumnFormula>Data_country[[#This Row],[gen_re]]/Data_country[[#This Row],[gen_total]]*100</calculatedColumnFormula>
    </tableColumn>
    <tableColumn id="68" xr3:uid="{BB50F3B1-738E-48E9-92E7-5498E4B71666}" name="gen_h2o_pc" dataDxfId="101">
      <calculatedColumnFormula>Data_country[[#This Row],[gen_h2o]]/Data_country[[#This Row],[gen_total]]*100</calculatedColumnFormula>
    </tableColumn>
    <tableColumn id="69" xr3:uid="{DE47B617-3194-4411-AC1C-AF525300F0D6}" name="gen_wind_pc" dataDxfId="100">
      <calculatedColumnFormula>Data_country[[#This Row],[gen_wind]]/Data_country[[#This Row],[gen_total]]*100</calculatedColumnFormula>
    </tableColumn>
    <tableColumn id="70" xr3:uid="{B4A71740-A6DC-4F64-ABBB-67D05B9FE287}" name="gen_solar_pc" dataDxfId="99">
      <calculatedColumnFormula>Data_country[[#This Row],[gen_solar]]/Data_country[[#This Row],[gen_total]]*100</calculatedColumnFormula>
    </tableColumn>
    <tableColumn id="71" xr3:uid="{053405F8-9F2D-427D-94CE-01EB9F698FDE}" name="gen_bio_pc" dataDxfId="98">
      <calculatedColumnFormula>Data_country[[#This Row],[gen_bio]]/Data_country[[#This Row],[gen_total]]*100</calculatedColumnFormula>
    </tableColumn>
    <tableColumn id="72" xr3:uid="{BFB8CE80-5302-418C-8D11-9AB5A5B23C47}" name="gen_other_re_pc" dataDxfId="97">
      <calculatedColumnFormula>Data_country[[#This Row],[gen_other_re]]/Data_country[[#This Row],[gen_total]]*100</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82F046-AB99-41C6-B6A1-8B6558F15FED}" name="Metadata_SPC" displayName="Metadata_SPC" ref="A2:C86" totalsRowShown="0" headerRowDxfId="96" dataDxfId="94" headerRowBorderDxfId="95" tableBorderDxfId="93" totalsRowBorderDxfId="92">
  <autoFilter ref="A2:C86" xr:uid="{9B82F046-AB99-41C6-B6A1-8B6558F15FED}"/>
  <tableColumns count="3">
    <tableColumn id="1" xr3:uid="{EC9032DD-58EE-4E4D-98FD-A626CA394177}" name="Code" dataDxfId="91"/>
    <tableColumn id="2" xr3:uid="{6D967510-4988-4A17-8196-350046AB087D}" name="Unit" dataDxfId="90"/>
    <tableColumn id="3" xr3:uid="{C59422B8-7805-4F9B-9991-AD9EC9AD4EA1}" name="Description" dataDxfId="8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D1613F-45FD-4501-B125-DD59BCB09C1A}" name="Data_SPC" displayName="Data_SPC" ref="A2:CG41" totalsRowShown="0" headerRowDxfId="88" dataDxfId="86" headerRowBorderDxfId="87" tableBorderDxfId="85">
  <autoFilter ref="A2:CG41" xr:uid="{ACD1613F-45FD-4501-B125-DD59BCB09C1A}"/>
  <tableColumns count="85">
    <tableColumn id="1" xr3:uid="{7455234C-747D-45F7-B82E-3F742326D691}" name="country" dataDxfId="84"/>
    <tableColumn id="2" xr3:uid="{FA209E22-26FC-46D8-8895-B07BBEB66B8A}" name="spc" dataDxfId="83"/>
    <tableColumn id="3" xr3:uid="{7156338C-491A-472F-A095-24DE830EB769}" name="spc_long" dataDxfId="82"/>
    <tableColumn id="4" xr3:uid="{DACAB1A2-D73F-4460-BEAD-9748F9CE4ED9}" name="year" dataDxfId="81"/>
    <tableColumn id="90" xr3:uid="{E5E45E97-5FF0-4AA6-92B1-43B651FEF6E5}" name="vertically_integrate" dataDxfId="80"/>
    <tableColumn id="91" xr3:uid="{F9E37EC9-CD46-41AC-89C1-96B67B17F7D3}" name="generation" dataDxfId="79"/>
    <tableColumn id="92" xr3:uid="{B18C1BAA-D809-4415-A203-C6CD88D73EB9}" name="transmission " dataDxfId="78"/>
    <tableColumn id="95" xr3:uid="{3B6F20AD-E208-4EEF-BA02-AAD0BC7ADF83}" name="distribution " dataDxfId="77"/>
    <tableColumn id="5" xr3:uid="{CFA511B9-7AE2-4838-9DC6-1A2A14C61647}" name="employee" dataDxfId="76"/>
    <tableColumn id="7" xr3:uid="{6F49C1AC-9780-4CEA-A046-DD32B8B1C0D0}" name="exchange_rate_usd" dataDxfId="75"/>
    <tableColumn id="8" xr3:uid="{18802A71-4055-4A64-A237-8CE486CAFB7E}" name="asset_local" dataDxfId="74"/>
    <tableColumn id="9" xr3:uid="{F1D635FC-B1C2-4198-A3E9-456420A29BF5}" name="asset_usd" dataDxfId="73">
      <calculatedColumnFormula>Data_SPC[[#This Row],[asset_local]]/Data_SPC[[#This Row],[exchange_rate_usd]]</calculatedColumnFormula>
    </tableColumn>
    <tableColumn id="51" xr3:uid="{525978D9-6C5B-44FF-9EF7-5F665F9423FE}" name="avg_asset_local" dataDxfId="72"/>
    <tableColumn id="65" xr3:uid="{198B957C-89DF-4A26-BF5A-601B1B615E50}" name="avg_asset_usd" dataDxfId="71">
      <calculatedColumnFormula>Data_SPC[[#This Row],[avg_asset_local]]/Data_SPC[[#This Row],[exchange_rate_usd]]</calculatedColumnFormula>
    </tableColumn>
    <tableColumn id="10" xr3:uid="{F1AE80A7-C858-4A43-8E1E-4B66DB9C5DC1}" name="liability_local" dataDxfId="70"/>
    <tableColumn id="11" xr3:uid="{2D5B4B64-244C-495D-809B-A0764E5D99D7}" name="liability_usd" dataDxfId="69">
      <calculatedColumnFormula>Data_SPC[[#This Row],[liability_local]]/Data_SPC[[#This Row],[exchange_rate_usd]]</calculatedColumnFormula>
    </tableColumn>
    <tableColumn id="12" xr3:uid="{BD417374-B549-45A6-BD2D-0BCDDEA682F0}" name="equity_local" dataDxfId="68"/>
    <tableColumn id="13" xr3:uid="{764B4E52-9A01-4FCE-AEDA-B116CD14A6F4}" name="equity_usd" dataDxfId="67">
      <calculatedColumnFormula>Data_SPC[[#This Row],[equity_local]]/Data_SPC[[#This Row],[exchange_rate_usd]]</calculatedColumnFormula>
    </tableColumn>
    <tableColumn id="34" xr3:uid="{042C3D23-AE1A-4736-A10D-8B56FE66EA0E}" name="avg_equity_local" dataDxfId="66">
      <calculatedColumnFormula>(Data_SPC[[#This Row],[equity_local]]+0)/2</calculatedColumnFormula>
    </tableColumn>
    <tableColumn id="50" xr3:uid="{F54A107C-7621-4FEE-B231-439E2950E4A7}" name="avg_equity_usd" dataDxfId="65">
      <calculatedColumnFormula>Data_SPC[[#This Row],[avg_equity_local]]/Data_SPC[[#This Row],[exchange_rate_usd]]</calculatedColumnFormula>
    </tableColumn>
    <tableColumn id="15" xr3:uid="{15F06685-6F61-40EB-8FB4-E45612E75DDC}" name="revenue_local" dataDxfId="64"/>
    <tableColumn id="16" xr3:uid="{D80F152B-704C-4433-9607-C052713E1DE7}" name="revenue_usd" dataDxfId="63">
      <calculatedColumnFormula>Data_SPC[[#This Row],[revenue_local]]/Data_SPC[[#This Row],[exchange_rate_usd]]</calculatedColumnFormula>
    </tableColumn>
    <tableColumn id="17" xr3:uid="{9ED0C84A-13E7-4B61-B0EE-11A7BEBD4E41}" name="ebit_local" dataDxfId="62"/>
    <tableColumn id="18" xr3:uid="{E0E511FA-C879-4577-8FDE-EF3B2701623E}" name="ebit_usd" dataDxfId="61">
      <calculatedColumnFormula>Data_SPC[[#This Row],[ebit_local]]/Data_SPC[[#This Row],[exchange_rate_usd]]</calculatedColumnFormula>
    </tableColumn>
    <tableColumn id="19" xr3:uid="{A0E7492C-46ED-4F24-B37B-DC39F2C10850}" name="net_profit_local" dataDxfId="60"/>
    <tableColumn id="20" xr3:uid="{F9283333-610F-425E-A1F7-3B7E89BA0FF7}" name="net_profit_usd" dataDxfId="59">
      <calculatedColumnFormula>Data_SPC[[#This Row],[net_profit_local]]/Data_SPC[[#This Row],[exchange_rate_usd]]</calculatedColumnFormula>
    </tableColumn>
    <tableColumn id="81" xr3:uid="{1C07D5BB-4C93-4941-B676-D173A651F198}" name="ci_local" dataDxfId="58"/>
    <tableColumn id="25" xr3:uid="{705BF09E-5435-475C-B05A-7F88DB9434FB}" name="ci_usd" dataDxfId="57">
      <calculatedColumnFormula>Data_SPC[[#This Row],[ci_local]]/Data_SPC[[#This Row],[exchange_rate_usd]]</calculatedColumnFormula>
    </tableColumn>
    <tableColumn id="14" xr3:uid="{DC2EE4D1-4ACE-4F8C-AC73-EB63B71D6891}" name="debt_ratio" dataDxfId="56">
      <calculatedColumnFormula>Data_SPC[[#This Row],[liability_local]]/Data_SPC[[#This Row],[asset_local]]*100</calculatedColumnFormula>
    </tableColumn>
    <tableColumn id="21" xr3:uid="{89F2D06F-86E5-4F27-9A28-9FA219B6627C}" name="op_margin" dataDxfId="55">
      <calculatedColumnFormula>Data_SPC[[#This Row],[ebit_local]]/Data_SPC[[#This Row],[revenue_local]]*100</calculatedColumnFormula>
    </tableColumn>
    <tableColumn id="22" xr3:uid="{C727734E-636E-4F09-9D4A-4F9E2D66181D}" name="roe" dataDxfId="54">
      <calculatedColumnFormula>Data_SPC[[#This Row],[net_profit_local]]/Data_SPC[[#This Row],[avg_equity_local]]*100</calculatedColumnFormula>
    </tableColumn>
    <tableColumn id="23" xr3:uid="{D83E6D0E-8237-49AC-B167-EFE460E2AFB4}" name="roa" dataDxfId="53">
      <calculatedColumnFormula>Data_SPC[[#This Row],[net_profit_local]]/Data_SPC[[#This Row],[avg_asset_local]]*100</calculatedColumnFormula>
    </tableColumn>
    <tableColumn id="24" xr3:uid="{4762A3E2-61E9-43CB-825D-50F068C2682B}" name="rating_fitch" dataDxfId="52"/>
    <tableColumn id="26" xr3:uid="{8423FF2A-8972-4F68-80D2-D18B04EF81C1}" name="ic_total" dataDxfId="51"/>
    <tableColumn id="27" xr3:uid="{25496C79-4D68-4A66-83C6-2DBCFB73A92B}" name="ic_fossil" dataDxfId="50"/>
    <tableColumn id="28" xr3:uid="{0016AE7A-DC48-4EDD-8F9B-CD424DEA29A9}" name="ic_oil" dataDxfId="49"/>
    <tableColumn id="29" xr3:uid="{87CBEFF4-C61D-4FA8-9073-1A96D0B28185}" name="ic_gas" dataDxfId="48"/>
    <tableColumn id="30" xr3:uid="{E67FCA3D-CE47-4DBE-A01B-E6C6435430F6}" name="ic_coal" dataDxfId="47"/>
    <tableColumn id="31" xr3:uid="{42E50258-2CB0-4D50-8F01-35D6407E2B1A}" name="ic_nuc" dataDxfId="46"/>
    <tableColumn id="33" xr3:uid="{B3EB8D93-07A7-46E3-9152-3137B0D084F9}" name="ic_re" dataDxfId="45"/>
    <tableColumn id="32" xr3:uid="{3199B02F-D4AF-4C6B-B62F-5CBD3F3C4943}" name="ic_h2o" dataDxfId="44"/>
    <tableColumn id="35" xr3:uid="{3E8EDD03-EA05-4CE1-AE09-C430A440A86B}" name="ic_wind" dataDxfId="43"/>
    <tableColumn id="36" xr3:uid="{EBE98295-B032-494B-B1FF-E69AFF2C9C24}" name="ic_solar" dataDxfId="42"/>
    <tableColumn id="37" xr3:uid="{F5EFB394-1088-4A8A-82EF-A0002C4876DB}" name="ic_other_re" dataDxfId="41"/>
    <tableColumn id="38" xr3:uid="{BAF37816-5685-4E5D-81BE-7710E4FA1273}" name="ic_other" dataDxfId="40"/>
    <tableColumn id="40" xr3:uid="{2C9589C4-E92F-49F0-A436-A4AC9AF43FC8}" name="ic_total_nationpc" dataDxfId="39"/>
    <tableColumn id="42" xr3:uid="{33486993-EB30-4213-B2EB-5DD09A4CB985}" name="ic_fossil_nationpc" dataDxfId="38">
      <calculatedColumnFormula>Data_SPC[[#This Row],[ic_fossil]]/Data_country[[#This Row],[ic_fossil]]*100</calculatedColumnFormula>
    </tableColumn>
    <tableColumn id="41" xr3:uid="{9D89B6FA-A94C-4F3F-BA69-3072B1EE7A0F}" name="ic_fossil_pc" dataDxfId="37">
      <calculatedColumnFormula>Data_SPC[[#This Row],[ic_fossil]]/Data_SPC[[#This Row],[ic_total]]*100</calculatedColumnFormula>
    </tableColumn>
    <tableColumn id="43" xr3:uid="{2F91FE28-74FA-4370-AC6F-CF3223CCCBDE}" name="ic_oil_pc" dataDxfId="36">
      <calculatedColumnFormula>Data_SPC[[#This Row],[ic_oil]]/Data_SPC[[#This Row],[ic_total]]*100</calculatedColumnFormula>
    </tableColumn>
    <tableColumn id="44" xr3:uid="{34C2D21B-5DF2-4B8E-A14A-214E071EDD66}" name="ic_gas_pc" dataDxfId="35">
      <calculatedColumnFormula>Data_SPC[[#This Row],[ic_gas]]/Data_SPC[[#This Row],[ic_total]]*100</calculatedColumnFormula>
    </tableColumn>
    <tableColumn id="45" xr3:uid="{9B9DCEA4-F6DC-4BBF-A16E-8582F3AAF965}" name="ic_coal_pc" dataDxfId="34">
      <calculatedColumnFormula>Data_SPC[[#This Row],[ic_coal]]/Data_SPC[[#This Row],[ic_total]]*100</calculatedColumnFormula>
    </tableColumn>
    <tableColumn id="46" xr3:uid="{15CFCBC5-1EEF-446A-B028-B638AEC361A6}" name="ic_nuc_pc" dataDxfId="33">
      <calculatedColumnFormula>Data_SPC[[#This Row],[ic_nuc]]/Data_SPC[[#This Row],[ic_total]]*100</calculatedColumnFormula>
    </tableColumn>
    <tableColumn id="49" xr3:uid="{64C0F7DC-A343-42A5-98AB-7EB5BF6CEFC4}" name="ic_re_nationpc" dataDxfId="32"/>
    <tableColumn id="48" xr3:uid="{F478BE09-A377-4D7D-B005-F74C54B9E559}" name="ic_re_pc" dataDxfId="31">
      <calculatedColumnFormula>Data_SPC[[#This Row],[ic_re]]/Data_SPC[[#This Row],[ic_total]]*100</calculatedColumnFormula>
    </tableColumn>
    <tableColumn id="47" xr3:uid="{0E2A8FA2-2502-47AF-97AC-95B338416A41}" name="ic_h2o_pc" dataDxfId="30">
      <calculatedColumnFormula>Data_SPC[[#This Row],[ic_h2o]]/Data_SPC[[#This Row],[ic_total]]*100</calculatedColumnFormula>
    </tableColumn>
    <tableColumn id="52" xr3:uid="{405B53A3-3552-4B5A-9DA4-617E1DA519C5}" name="ic_wind_pc" dataDxfId="29">
      <calculatedColumnFormula>Data_SPC[[#This Row],[ic_wind]]/Data_SPC[[#This Row],[ic_total]]*100</calculatedColumnFormula>
    </tableColumn>
    <tableColumn id="53" xr3:uid="{63EB3907-A651-4388-8CB1-82D107E8C1EE}" name="ic_solar_pc" dataDxfId="28">
      <calculatedColumnFormula>Data_SPC[[#This Row],[ic_solar]]/Data_SPC[[#This Row],[ic_total]]*100</calculatedColumnFormula>
    </tableColumn>
    <tableColumn id="54" xr3:uid="{88321B7A-585C-4D19-AB7C-3655E03ED5CE}" name="ic_other_re_pc" dataDxfId="27">
      <calculatedColumnFormula>Data_SPC[[#This Row],[ic_other_re]]/Data_SPC[[#This Row],[ic_total]]*100</calculatedColumnFormula>
    </tableColumn>
    <tableColumn id="55" xr3:uid="{7B597AEB-E67F-4356-A01C-5346420F0B05}" name="ic_other_pc" dataDxfId="26">
      <calculatedColumnFormula>Data_SPC[[#This Row],[ic_other]]/Data_SPC[[#This Row],[ic_total]]*100</calculatedColumnFormula>
    </tableColumn>
    <tableColumn id="57" xr3:uid="{D244B329-22C1-488B-84EE-BC14F134FD10}" name="gen_total" dataDxfId="25"/>
    <tableColumn id="58" xr3:uid="{2028F70C-0FB1-42FC-AAFF-F1A5FDA98FFE}" name="gen_fossil" dataDxfId="24">
      <calculatedColumnFormula>SUM(Data_SPC[[#This Row],[gen_oil]:[gen_coal]])</calculatedColumnFormula>
    </tableColumn>
    <tableColumn id="59" xr3:uid="{EA9058B4-2125-490C-B2A5-91AAABDD4641}" name="gen_oil" dataDxfId="23"/>
    <tableColumn id="60" xr3:uid="{07DC6B3C-7D1B-4283-B3C4-81ED4ADB2B29}" name="gen_gas" dataDxfId="22"/>
    <tableColumn id="61" xr3:uid="{07ED21CB-A126-41A4-91B1-D1ED93E024CB}" name="gen_coal" dataDxfId="21"/>
    <tableColumn id="62" xr3:uid="{CB1423BE-4F7D-4C88-AD78-73F627E24031}" name="gen_nuc" dataDxfId="20"/>
    <tableColumn id="64" xr3:uid="{6D4E50A8-357F-404D-9C81-F97F4022773D}" name="gen_re" dataDxfId="19"/>
    <tableColumn id="63" xr3:uid="{4DD97339-0EBC-498A-87BD-442F7EA8F8F6}" name="gen_h2o" dataDxfId="18"/>
    <tableColumn id="66" xr3:uid="{A62ABBD4-8D1E-4503-AAE2-7935F9B0713F}" name="gen_wind" dataDxfId="17"/>
    <tableColumn id="67" xr3:uid="{588297E9-26AA-4CC1-9120-445501B59D0A}" name="gen_solar" dataDxfId="16"/>
    <tableColumn id="68" xr3:uid="{67CC5939-621F-4CDB-8F75-02A3A8F0547C}" name="gen_other_re" dataDxfId="15"/>
    <tableColumn id="69" xr3:uid="{B77431CC-9B8A-482E-A181-4160223D05AE}" name="gen_other" dataDxfId="14"/>
    <tableColumn id="71" xr3:uid="{D110BF64-C71B-4F2E-82D6-CABEC7DEAFF5}" name="gen_total_nationpc" dataDxfId="13">
      <calculatedColumnFormula>Data_SPC[[#This Row],[gen_total]]/Data_country[[#This Row],[gen_total]]*100</calculatedColumnFormula>
    </tableColumn>
    <tableColumn id="73" xr3:uid="{90EFEED2-12A2-468B-BD65-A48A7730E97C}" name="gen_fossil_nationpc" dataDxfId="12"/>
    <tableColumn id="72" xr3:uid="{3CA488C3-1D1B-4CA8-AFFE-5BB79016BCA4}" name="gen_fossil_pc" dataDxfId="11">
      <calculatedColumnFormula>Data_SPC[[#This Row],[gen_fossil]]/Data_SPC[[#This Row],[gen_total]]*100</calculatedColumnFormula>
    </tableColumn>
    <tableColumn id="74" xr3:uid="{09D6D353-19C8-451F-8FF4-50674EB9BB6D}" name="gen_oil_pc" dataDxfId="10">
      <calculatedColumnFormula>Data_SPC[[#This Row],[gen_oil]]/Data_SPC[[#This Row],[gen_total]]*100</calculatedColumnFormula>
    </tableColumn>
    <tableColumn id="75" xr3:uid="{88E3D853-4FD4-4C1E-BF67-70B0AC401426}" name="gen_gas_pc" dataDxfId="9">
      <calculatedColumnFormula>Data_SPC[[#This Row],[gen_gas]]/Data_SPC[[#This Row],[gen_total]]*100</calculatedColumnFormula>
    </tableColumn>
    <tableColumn id="76" xr3:uid="{C28E5BC7-2DA7-4DFA-AE0E-CC87DDD3CFA9}" name="gen_coal_pc" dataDxfId="8">
      <calculatedColumnFormula>Data_SPC[[#This Row],[gen_coal]]/Data_SPC[[#This Row],[gen_total]]*100</calculatedColumnFormula>
    </tableColumn>
    <tableColumn id="77" xr3:uid="{7A0E8A94-1B6A-49D7-9481-93C9698A87AC}" name="gen_nuc_pc" dataDxfId="7">
      <calculatedColumnFormula>Data_SPC[[#This Row],[gen_nuc]]/Data_SPC[[#This Row],[gen_total]]*100</calculatedColumnFormula>
    </tableColumn>
    <tableColumn id="80" xr3:uid="{1257DC33-20C6-47CA-8D43-655B06325596}" name="gen_re_nationpc" dataDxfId="6">
      <calculatedColumnFormula>Data_SPC[[#This Row],[gen_re]]/Data_country[[#This Row],[gen_re]]*100</calculatedColumnFormula>
    </tableColumn>
    <tableColumn id="79" xr3:uid="{439925A5-9200-47DD-920C-A3A536B2F0D6}" name="gen_re_pc" dataDxfId="5">
      <calculatedColumnFormula>Data_SPC[[#This Row],[gen_re]]/Data_SPC[[#This Row],[gen_total]]*100</calculatedColumnFormula>
    </tableColumn>
    <tableColumn id="78" xr3:uid="{F7068FA4-4135-4821-A609-4A4D6AA652D5}" name="gen_h2o_pc" dataDxfId="4">
      <calculatedColumnFormula>Data_SPC[[#This Row],[gen_h2o]]/Data_SPC[[#This Row],[gen_total]]*100</calculatedColumnFormula>
    </tableColumn>
    <tableColumn id="82" xr3:uid="{B2F64CEF-0FA2-412A-AA24-FBCD636EED65}" name="gen_wind_pc" dataDxfId="3">
      <calculatedColumnFormula>Data_SPC[[#This Row],[gen_wind]]/Data_SPC[[#This Row],[gen_total]]*100</calculatedColumnFormula>
    </tableColumn>
    <tableColumn id="83" xr3:uid="{20127F5A-BF81-4523-ADF6-3686B8CA49EE}" name="gen_solar_pc" dataDxfId="2">
      <calculatedColumnFormula>Data_SPC[[#This Row],[gen_solar]]/Data_SPC[[#This Row],[gen_total]]*100</calculatedColumnFormula>
    </tableColumn>
    <tableColumn id="84" xr3:uid="{A71DE11E-3B38-4872-9FD6-3170088557C9}" name="gen_other_re_pc" dataDxfId="1">
      <calculatedColumnFormula>Data_SPC[[#This Row],[gen_other_re]]/Data_SPC[[#This Row],[gen_total]]*100</calculatedColumnFormula>
    </tableColumn>
    <tableColumn id="85" xr3:uid="{308C445F-B62B-4FFF-BB9B-CBD2FED98950}" name="gen_other_pc" dataDxfId="0">
      <calculatedColumnFormula>Data_SPC[[#This Row],[gen_other]]/Data_SPC[[#This Row],[gen_total]]*100</calculatedColumnFormula>
    </tableColumn>
  </tableColumns>
  <tableStyleInfo name="TableStyleLight9" showFirstColumn="0" showLastColumn="0" showRowStripes="1" showColumnStripes="0"/>
</table>
</file>

<file path=xl/theme/theme1.xml><?xml version="1.0" encoding="utf-8"?>
<a:theme xmlns:a="http://schemas.openxmlformats.org/drawingml/2006/main" name="Agora_EW">
  <a:themeElements>
    <a:clrScheme name="Agora_EW">
      <a:dk1>
        <a:sysClr val="windowText" lastClr="000000"/>
      </a:dk1>
      <a:lt1>
        <a:srgbClr val="F8F8F8"/>
      </a:lt1>
      <a:dk2>
        <a:srgbClr val="000000"/>
      </a:dk2>
      <a:lt2>
        <a:srgbClr val="FFFFFF"/>
      </a:lt2>
      <a:accent1>
        <a:srgbClr val="733E88"/>
      </a:accent1>
      <a:accent2>
        <a:srgbClr val="D05094"/>
      </a:accent2>
      <a:accent3>
        <a:srgbClr val="64B9E4"/>
      </a:accent3>
      <a:accent4>
        <a:srgbClr val="1E83B3"/>
      </a:accent4>
      <a:accent5>
        <a:srgbClr val="48A8AE"/>
      </a:accent5>
      <a:accent6>
        <a:srgbClr val="8393BE"/>
      </a:accent6>
      <a:hlink>
        <a:srgbClr val="000000"/>
      </a:hlink>
      <a:folHlink>
        <a:srgbClr val="000000"/>
      </a:folHlink>
    </a:clrScheme>
    <a:fontScheme name="Agora_EW">
      <a:majorFont>
        <a:latin typeface="Flexo"/>
        <a:ea typeface=""/>
        <a:cs typeface=""/>
      </a:majorFont>
      <a:minorFont>
        <a:latin typeface="Flex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gora-energiewende.org/news-events/low-carbon-transition-of-states-and-state-owned-power-compani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74A84-2B25-4ED5-ABCB-AEA180F45E65}">
  <dimension ref="A13:I72"/>
  <sheetViews>
    <sheetView showGridLines="0" tabSelected="1" topLeftCell="A13" zoomScaleNormal="100" workbookViewId="0">
      <selection activeCell="B38" sqref="B38"/>
    </sheetView>
  </sheetViews>
  <sheetFormatPr baseColWidth="10" defaultColWidth="0" defaultRowHeight="14.5" x14ac:dyDescent="0.35"/>
  <cols>
    <col min="1" max="1" width="8.26953125" style="4" customWidth="1"/>
    <col min="2" max="6" width="13.7265625" style="4" customWidth="1"/>
    <col min="7" max="7" width="14.08984375" style="4" customWidth="1"/>
    <col min="8" max="8" width="5.81640625" style="4" customWidth="1"/>
    <col min="9" max="9" width="6.453125" style="4" customWidth="1"/>
    <col min="10" max="16384" width="13.7265625" style="4" hidden="1"/>
  </cols>
  <sheetData>
    <row r="13" spans="2:8" ht="13" customHeight="1" x14ac:dyDescent="0.35"/>
    <row r="14" spans="2:8" s="5" customFormat="1" ht="32.15" customHeight="1" x14ac:dyDescent="0.25">
      <c r="B14" s="51" t="s">
        <v>428</v>
      </c>
      <c r="C14" s="59"/>
      <c r="D14" s="59"/>
      <c r="E14" s="59"/>
      <c r="F14" s="59"/>
      <c r="G14" s="59"/>
      <c r="H14" s="52"/>
    </row>
    <row r="15" spans="2:8" ht="32.15" customHeight="1" x14ac:dyDescent="0.8">
      <c r="B15" s="57" t="s">
        <v>427</v>
      </c>
      <c r="C15" s="60"/>
      <c r="D15" s="60"/>
      <c r="E15" s="60"/>
      <c r="F15" s="60"/>
      <c r="G15" s="60"/>
      <c r="H15" s="53"/>
    </row>
    <row r="16" spans="2:8" s="6" customFormat="1" ht="25.25" customHeight="1" x14ac:dyDescent="0.25">
      <c r="B16" s="89" t="s">
        <v>235</v>
      </c>
      <c r="C16" s="89"/>
      <c r="D16" s="89"/>
      <c r="E16" s="89"/>
      <c r="F16" s="89"/>
      <c r="G16" s="89"/>
      <c r="H16" s="54"/>
    </row>
    <row r="17" spans="2:8" x14ac:dyDescent="0.35">
      <c r="B17" s="53"/>
      <c r="C17" s="53"/>
      <c r="D17" s="53"/>
      <c r="E17" s="53"/>
      <c r="F17" s="53"/>
      <c r="G17" s="53"/>
      <c r="H17" s="53"/>
    </row>
    <row r="18" spans="2:8" x14ac:dyDescent="0.35">
      <c r="B18" s="53"/>
      <c r="C18" s="53"/>
      <c r="D18" s="53"/>
      <c r="E18" s="53"/>
      <c r="F18" s="53"/>
      <c r="G18" s="53"/>
      <c r="H18" s="53"/>
    </row>
    <row r="19" spans="2:8" x14ac:dyDescent="0.35">
      <c r="B19" s="53"/>
      <c r="C19" s="53"/>
      <c r="D19" s="53"/>
      <c r="E19" s="53"/>
      <c r="F19" s="53"/>
      <c r="G19" s="53"/>
      <c r="H19" s="53"/>
    </row>
    <row r="20" spans="2:8" x14ac:dyDescent="0.35">
      <c r="B20" s="53"/>
      <c r="C20" s="53"/>
      <c r="D20" s="53"/>
      <c r="E20" s="53"/>
      <c r="F20" s="53"/>
      <c r="G20" s="53"/>
      <c r="H20" s="53"/>
    </row>
    <row r="21" spans="2:8" x14ac:dyDescent="0.35">
      <c r="B21" s="55" t="s">
        <v>113</v>
      </c>
      <c r="C21" s="56"/>
      <c r="D21" s="56"/>
      <c r="E21" s="56"/>
      <c r="F21" s="56"/>
      <c r="G21" s="56"/>
      <c r="H21" s="56"/>
    </row>
    <row r="22" spans="2:8" x14ac:dyDescent="0.35">
      <c r="B22" s="56" t="s">
        <v>236</v>
      </c>
      <c r="C22" s="56"/>
      <c r="D22" s="56"/>
      <c r="E22" s="56"/>
      <c r="F22" s="56"/>
      <c r="G22" s="56"/>
      <c r="H22" s="56"/>
    </row>
    <row r="23" spans="2:8" x14ac:dyDescent="0.35">
      <c r="B23" s="56"/>
      <c r="C23" s="56"/>
      <c r="D23" s="56"/>
      <c r="E23" s="56"/>
      <c r="F23" s="56"/>
      <c r="G23" s="56"/>
      <c r="H23" s="56"/>
    </row>
    <row r="24" spans="2:8" x14ac:dyDescent="0.35">
      <c r="B24" s="55" t="s">
        <v>114</v>
      </c>
      <c r="C24" s="56"/>
      <c r="D24" s="56"/>
      <c r="E24" s="56"/>
      <c r="F24" s="56"/>
      <c r="G24" s="56"/>
      <c r="H24" s="56"/>
    </row>
    <row r="25" spans="2:8" x14ac:dyDescent="0.35">
      <c r="B25" s="56" t="s">
        <v>375</v>
      </c>
      <c r="C25" s="56"/>
      <c r="D25" s="56"/>
      <c r="E25" s="56"/>
      <c r="F25" s="56"/>
      <c r="G25" s="56"/>
      <c r="H25" s="56"/>
    </row>
    <row r="26" spans="2:8" x14ac:dyDescent="0.35">
      <c r="B26" s="56"/>
      <c r="C26" s="56"/>
      <c r="D26" s="56"/>
      <c r="E26" s="56"/>
      <c r="F26" s="56"/>
      <c r="G26" s="56"/>
      <c r="H26" s="56"/>
    </row>
    <row r="27" spans="2:8" x14ac:dyDescent="0.35">
      <c r="B27" s="55" t="s">
        <v>115</v>
      </c>
      <c r="C27" s="56"/>
      <c r="D27" s="56"/>
      <c r="E27" s="56"/>
      <c r="F27" s="56"/>
      <c r="G27" s="56"/>
      <c r="H27" s="56"/>
    </row>
    <row r="28" spans="2:8" x14ac:dyDescent="0.35">
      <c r="B28" s="88" t="s">
        <v>376</v>
      </c>
      <c r="C28" s="88"/>
      <c r="D28" s="88"/>
      <c r="E28" s="88"/>
      <c r="F28" s="88"/>
      <c r="G28" s="88"/>
      <c r="H28" s="88"/>
    </row>
    <row r="29" spans="2:8" x14ac:dyDescent="0.35">
      <c r="B29" s="88"/>
      <c r="C29" s="88"/>
      <c r="D29" s="88"/>
      <c r="E29" s="88"/>
      <c r="F29" s="88"/>
      <c r="G29" s="88"/>
      <c r="H29" s="88"/>
    </row>
    <row r="30" spans="2:8" x14ac:dyDescent="0.35">
      <c r="B30" s="88"/>
      <c r="C30" s="88"/>
      <c r="D30" s="88"/>
      <c r="E30" s="88"/>
      <c r="F30" s="88"/>
      <c r="G30" s="88"/>
      <c r="H30" s="88"/>
    </row>
    <row r="31" spans="2:8" x14ac:dyDescent="0.35">
      <c r="B31" s="56"/>
      <c r="C31" s="56"/>
      <c r="D31" s="56"/>
      <c r="E31" s="56"/>
      <c r="F31" s="56"/>
      <c r="G31" s="56"/>
      <c r="H31" s="56"/>
    </row>
    <row r="32" spans="2:8" x14ac:dyDescent="0.35">
      <c r="B32" s="88" t="s">
        <v>117</v>
      </c>
      <c r="C32" s="88"/>
      <c r="D32" s="88"/>
      <c r="E32" s="88"/>
      <c r="F32" s="88"/>
      <c r="G32" s="88"/>
      <c r="H32" s="88"/>
    </row>
    <row r="33" spans="2:8" x14ac:dyDescent="0.35">
      <c r="B33" s="88"/>
      <c r="C33" s="88"/>
      <c r="D33" s="88"/>
      <c r="E33" s="88"/>
      <c r="F33" s="88"/>
      <c r="G33" s="88"/>
      <c r="H33" s="88"/>
    </row>
    <row r="34" spans="2:8" x14ac:dyDescent="0.35">
      <c r="B34" s="88"/>
      <c r="C34" s="88"/>
      <c r="D34" s="88"/>
      <c r="E34" s="88"/>
      <c r="F34" s="88"/>
      <c r="G34" s="88"/>
      <c r="H34" s="88"/>
    </row>
    <row r="35" spans="2:8" x14ac:dyDescent="0.35">
      <c r="B35" s="56"/>
      <c r="C35" s="56"/>
      <c r="D35" s="56"/>
      <c r="E35" s="56"/>
      <c r="F35" s="56"/>
      <c r="G35" s="56"/>
      <c r="H35" s="56"/>
    </row>
    <row r="36" spans="2:8" x14ac:dyDescent="0.35">
      <c r="B36" s="56"/>
      <c r="C36" s="56"/>
      <c r="D36" s="56"/>
      <c r="E36" s="56"/>
      <c r="F36" s="56"/>
      <c r="G36" s="56"/>
      <c r="H36" s="56"/>
    </row>
    <row r="37" spans="2:8" x14ac:dyDescent="0.35">
      <c r="B37" s="55" t="s">
        <v>116</v>
      </c>
      <c r="C37" s="55"/>
      <c r="D37" s="55"/>
      <c r="E37" s="55"/>
      <c r="F37" s="55"/>
      <c r="G37" s="56"/>
      <c r="H37" s="56"/>
    </row>
    <row r="38" spans="2:8" x14ac:dyDescent="0.35">
      <c r="B38" s="91" t="s">
        <v>118</v>
      </c>
      <c r="C38" s="3"/>
      <c r="D38" s="3"/>
      <c r="E38" s="3"/>
      <c r="F38" s="3"/>
      <c r="G38" s="3"/>
      <c r="H38" s="3"/>
    </row>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sheetData>
  <mergeCells count="3">
    <mergeCell ref="B28:H30"/>
    <mergeCell ref="B32:H34"/>
    <mergeCell ref="B16:G16"/>
  </mergeCells>
  <hyperlinks>
    <hyperlink ref="B38" r:id="rId1" xr:uid="{2895F8C2-7F8A-4D4C-933D-2F8C7AA79A13}"/>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55240-2E09-48E0-9AC9-3E47049F07DC}">
  <dimension ref="A1:E23"/>
  <sheetViews>
    <sheetView showGridLines="0" zoomScaleNormal="100" workbookViewId="0"/>
  </sheetViews>
  <sheetFormatPr baseColWidth="10" defaultColWidth="0" defaultRowHeight="13" x14ac:dyDescent="0.25"/>
  <cols>
    <col min="1" max="3" width="8.7265625" style="45" customWidth="1"/>
    <col min="4" max="5" width="13.08984375" style="45" customWidth="1"/>
    <col min="6" max="16384" width="8.7265625" style="45" hidden="1"/>
  </cols>
  <sheetData>
    <row r="1" spans="2:2" ht="13" customHeight="1" x14ac:dyDescent="0.25"/>
    <row r="2" spans="2:2" ht="36" customHeight="1" x14ac:dyDescent="0.25">
      <c r="B2" s="58" t="s">
        <v>425</v>
      </c>
    </row>
    <row r="5" spans="2:2" ht="14.5" x14ac:dyDescent="0.25">
      <c r="B5" s="79" t="s">
        <v>119</v>
      </c>
    </row>
    <row r="6" spans="2:2" ht="14.5" x14ac:dyDescent="0.25">
      <c r="B6" s="79" t="s">
        <v>423</v>
      </c>
    </row>
    <row r="7" spans="2:2" ht="14.5" x14ac:dyDescent="0.25">
      <c r="B7" s="79" t="s">
        <v>424</v>
      </c>
    </row>
    <row r="8" spans="2:2" ht="14.5" x14ac:dyDescent="0.25">
      <c r="B8" s="79" t="s">
        <v>379</v>
      </c>
    </row>
    <row r="9" spans="2:2" ht="14.5" x14ac:dyDescent="0.25">
      <c r="B9" s="79" t="s">
        <v>380</v>
      </c>
    </row>
    <row r="10" spans="2:2" ht="14.5" x14ac:dyDescent="0.25">
      <c r="B10" s="79" t="s">
        <v>381</v>
      </c>
    </row>
    <row r="11" spans="2:2" ht="14.5" x14ac:dyDescent="0.25">
      <c r="B11" s="79" t="s">
        <v>382</v>
      </c>
    </row>
    <row r="12" spans="2:2" ht="14.5" x14ac:dyDescent="0.25">
      <c r="B12" s="80"/>
    </row>
    <row r="13" spans="2:2" ht="14.5" x14ac:dyDescent="0.25">
      <c r="B13" s="80"/>
    </row>
    <row r="14" spans="2:2" x14ac:dyDescent="0.25">
      <c r="B14" s="50"/>
    </row>
    <row r="15" spans="2:2" x14ac:dyDescent="0.25">
      <c r="B15" s="50"/>
    </row>
    <row r="16" spans="2:2" x14ac:dyDescent="0.25">
      <c r="B16" s="50"/>
    </row>
    <row r="17" spans="2:2" x14ac:dyDescent="0.25">
      <c r="B17" s="50"/>
    </row>
    <row r="18" spans="2:2" x14ac:dyDescent="0.25">
      <c r="B18" s="50"/>
    </row>
    <row r="19" spans="2:2" x14ac:dyDescent="0.25">
      <c r="B19" s="50"/>
    </row>
    <row r="20" spans="2:2" x14ac:dyDescent="0.25">
      <c r="B20" s="50"/>
    </row>
    <row r="21" spans="2:2" x14ac:dyDescent="0.25">
      <c r="B21" s="50"/>
    </row>
    <row r="22" spans="2:2" x14ac:dyDescent="0.25">
      <c r="B22" s="50"/>
    </row>
    <row r="23" spans="2:2" x14ac:dyDescent="0.25">
      <c r="B23" s="50"/>
    </row>
  </sheetData>
  <hyperlinks>
    <hyperlink ref="B5" location="'Imprint'!R1C1" display="'Imprint'!R1C1" xr:uid="{EC583EED-42B0-4A93-89DB-B92F87B9BBA9}"/>
    <hyperlink ref="B8" location="'Terminology_data_country'!R1C1" display="'Terminology_data_country'!R1C1" xr:uid="{E02FDAE4-0A1C-442A-AF8B-8D46C7A98DB2}"/>
    <hyperlink ref="B9" location="'Data_country'!R1C1" display="'Data_country'!R1C1" xr:uid="{4EEB221C-FF0B-4244-9662-503F4F42BCCF}"/>
    <hyperlink ref="B10" location="'Terminology_data_SPC'!R1C1" display="'Terminology_data_SPC'!R1C1" xr:uid="{1D4FA105-2C8A-4BCF-B65B-EAEA7F20F0EB}"/>
    <hyperlink ref="B11" location="'Data_SPC'!R1C1" display="'Data_SPC'!R1C1" xr:uid="{B432B533-2B38-4B61-BA7D-E30285166742}"/>
    <hyperlink ref="B6" location="'Table_of_contents'!R1C1" display="'Table_of_contents'!R1C1" xr:uid="{74F02178-723D-49F3-972C-4E7CB7846E90}"/>
    <hyperlink ref="B7" location="'References'!R1C1" display="'References'!R1C1" xr:uid="{4B53B476-3D32-4011-A6A9-CE4461390DA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92002-5FBE-4F12-8E32-A2B505B08B50}">
  <dimension ref="A1:C56"/>
  <sheetViews>
    <sheetView showGridLines="0" zoomScaleNormal="100" workbookViewId="0"/>
  </sheetViews>
  <sheetFormatPr baseColWidth="10" defaultColWidth="8.7265625" defaultRowHeight="13" x14ac:dyDescent="0.25"/>
  <cols>
    <col min="1" max="1" width="45.7265625" style="17" customWidth="1"/>
    <col min="2" max="2" width="90.7265625" style="17" customWidth="1"/>
    <col min="3" max="3" width="49.6328125" style="17" customWidth="1"/>
    <col min="4" max="4" width="20.08984375" style="17" customWidth="1"/>
    <col min="5" max="7" width="8.7265625" style="17"/>
    <col min="8" max="8" width="16.54296875" style="17" customWidth="1"/>
    <col min="9" max="16384" width="8.7265625" style="17"/>
  </cols>
  <sheetData>
    <row r="1" spans="1:3" s="19" customFormat="1" ht="30" customHeight="1" x14ac:dyDescent="0.25">
      <c r="A1" s="18" t="s">
        <v>426</v>
      </c>
      <c r="B1" s="18"/>
    </row>
    <row r="2" spans="1:3" s="63" customFormat="1" ht="36" customHeight="1" x14ac:dyDescent="0.8">
      <c r="A2" s="61" t="s">
        <v>424</v>
      </c>
      <c r="B2" s="62"/>
    </row>
    <row r="3" spans="1:3" s="38" customFormat="1" ht="15.5" x14ac:dyDescent="0.25">
      <c r="A3" s="37"/>
      <c r="B3" s="37"/>
      <c r="C3" s="37"/>
    </row>
    <row r="4" spans="1:3" s="38" customFormat="1" ht="45.5" customHeight="1" x14ac:dyDescent="0.25">
      <c r="A4" s="90" t="s">
        <v>377</v>
      </c>
      <c r="B4" s="90"/>
      <c r="C4" s="90"/>
    </row>
    <row r="6" spans="1:3" ht="20" customHeight="1" x14ac:dyDescent="0.25">
      <c r="A6" s="26" t="s">
        <v>120</v>
      </c>
      <c r="B6" s="27" t="s">
        <v>122</v>
      </c>
      <c r="C6" s="22" t="s">
        <v>132</v>
      </c>
    </row>
    <row r="7" spans="1:3" ht="60" customHeight="1" x14ac:dyDescent="0.25">
      <c r="A7" s="85" t="s">
        <v>85</v>
      </c>
      <c r="B7" s="81" t="s">
        <v>126</v>
      </c>
      <c r="C7" s="29" t="s">
        <v>147</v>
      </c>
    </row>
    <row r="8" spans="1:3" ht="30" customHeight="1" x14ac:dyDescent="0.25">
      <c r="A8" s="86" t="s">
        <v>141</v>
      </c>
      <c r="B8" s="81" t="s">
        <v>142</v>
      </c>
      <c r="C8" s="29" t="s">
        <v>148</v>
      </c>
    </row>
    <row r="9" spans="1:3" ht="30" customHeight="1" x14ac:dyDescent="0.25">
      <c r="A9" s="86" t="s">
        <v>141</v>
      </c>
      <c r="B9" s="81" t="s">
        <v>143</v>
      </c>
      <c r="C9" s="29" t="s">
        <v>149</v>
      </c>
    </row>
    <row r="10" spans="1:3" ht="65.150000000000006" customHeight="1" x14ac:dyDescent="0.25">
      <c r="A10" s="87" t="s">
        <v>140</v>
      </c>
      <c r="B10" s="81" t="s">
        <v>127</v>
      </c>
      <c r="C10" s="29" t="s">
        <v>150</v>
      </c>
    </row>
    <row r="11" spans="1:3" ht="30" customHeight="1" x14ac:dyDescent="0.25">
      <c r="A11" s="86" t="s">
        <v>89</v>
      </c>
      <c r="B11" s="81" t="s">
        <v>130</v>
      </c>
      <c r="C11" s="29" t="s">
        <v>151</v>
      </c>
    </row>
    <row r="12" spans="1:3" s="82" customFormat="1" ht="30" customHeight="1" x14ac:dyDescent="0.25">
      <c r="A12" s="82" t="s">
        <v>89</v>
      </c>
      <c r="B12" s="83" t="s">
        <v>131</v>
      </c>
      <c r="C12" s="84" t="s">
        <v>152</v>
      </c>
    </row>
    <row r="13" spans="1:3" ht="14.5" x14ac:dyDescent="0.25">
      <c r="C13" s="28"/>
    </row>
    <row r="14" spans="1:3" ht="20" customHeight="1" x14ac:dyDescent="0.25">
      <c r="A14" s="21" t="s">
        <v>121</v>
      </c>
      <c r="B14" s="20" t="s">
        <v>122</v>
      </c>
      <c r="C14" s="22" t="s">
        <v>132</v>
      </c>
    </row>
    <row r="15" spans="1:3" ht="30" customHeight="1" x14ac:dyDescent="0.25">
      <c r="A15" s="30" t="s">
        <v>355</v>
      </c>
      <c r="B15" s="17" t="s">
        <v>165</v>
      </c>
      <c r="C15" s="31"/>
    </row>
    <row r="16" spans="1:3" ht="30" customHeight="1" x14ac:dyDescent="0.25">
      <c r="A16" s="30" t="s">
        <v>386</v>
      </c>
      <c r="B16" s="17" t="s">
        <v>212</v>
      </c>
      <c r="C16" s="30"/>
    </row>
    <row r="17" spans="1:3" ht="45" customHeight="1" x14ac:dyDescent="0.25">
      <c r="A17" s="30" t="s">
        <v>356</v>
      </c>
      <c r="B17" s="17" t="s">
        <v>164</v>
      </c>
      <c r="C17" s="30"/>
    </row>
    <row r="18" spans="1:3" ht="30" customHeight="1" x14ac:dyDescent="0.25">
      <c r="A18" s="30" t="s">
        <v>357</v>
      </c>
      <c r="B18" s="17" t="s">
        <v>166</v>
      </c>
      <c r="C18" s="30"/>
    </row>
    <row r="19" spans="1:3" ht="45" customHeight="1" x14ac:dyDescent="0.25">
      <c r="A19" s="30" t="s">
        <v>238</v>
      </c>
      <c r="B19" s="17" t="s">
        <v>239</v>
      </c>
      <c r="C19" s="30"/>
    </row>
    <row r="20" spans="1:3" ht="30" customHeight="1" x14ac:dyDescent="0.25">
      <c r="A20" s="30" t="s">
        <v>358</v>
      </c>
      <c r="B20" s="17" t="s">
        <v>191</v>
      </c>
      <c r="C20" s="30"/>
    </row>
    <row r="21" spans="1:3" ht="30" customHeight="1" x14ac:dyDescent="0.25">
      <c r="A21" s="30" t="s">
        <v>385</v>
      </c>
      <c r="B21" s="30" t="s">
        <v>240</v>
      </c>
      <c r="C21" s="30"/>
    </row>
    <row r="22" spans="1:3" ht="30" customHeight="1" x14ac:dyDescent="0.25">
      <c r="A22" s="30" t="s">
        <v>210</v>
      </c>
      <c r="B22" s="17" t="s">
        <v>211</v>
      </c>
      <c r="C22" s="30"/>
    </row>
    <row r="23" spans="1:3" ht="30" customHeight="1" x14ac:dyDescent="0.25">
      <c r="A23" s="30" t="s">
        <v>241</v>
      </c>
      <c r="B23" s="17" t="s">
        <v>378</v>
      </c>
      <c r="C23" s="30"/>
    </row>
    <row r="24" spans="1:3" ht="30" customHeight="1" x14ac:dyDescent="0.25">
      <c r="A24" s="30" t="s">
        <v>359</v>
      </c>
      <c r="B24" s="17" t="s">
        <v>190</v>
      </c>
      <c r="C24" s="30"/>
    </row>
    <row r="25" spans="1:3" ht="30" customHeight="1" x14ac:dyDescent="0.25">
      <c r="A25" s="30" t="s">
        <v>216</v>
      </c>
      <c r="B25" s="17" t="s">
        <v>242</v>
      </c>
      <c r="C25" s="30"/>
    </row>
    <row r="26" spans="1:3" ht="30" customHeight="1" x14ac:dyDescent="0.25">
      <c r="A26" s="30" t="s">
        <v>360</v>
      </c>
      <c r="B26" s="17" t="s">
        <v>123</v>
      </c>
      <c r="C26" s="31"/>
    </row>
    <row r="27" spans="1:3" ht="45" customHeight="1" x14ac:dyDescent="0.25">
      <c r="A27" s="30" t="s">
        <v>243</v>
      </c>
      <c r="B27" s="17" t="s">
        <v>244</v>
      </c>
      <c r="C27" s="30"/>
    </row>
    <row r="28" spans="1:3" ht="30" customHeight="1" x14ac:dyDescent="0.25">
      <c r="A28" s="30" t="s">
        <v>361</v>
      </c>
      <c r="B28" s="17" t="s">
        <v>189</v>
      </c>
      <c r="C28" s="30"/>
    </row>
    <row r="29" spans="1:3" ht="30" customHeight="1" x14ac:dyDescent="0.25">
      <c r="A29" s="30" t="s">
        <v>217</v>
      </c>
      <c r="B29" s="17" t="s">
        <v>229</v>
      </c>
      <c r="C29" s="30"/>
    </row>
    <row r="30" spans="1:3" ht="30" customHeight="1" x14ac:dyDescent="0.25">
      <c r="A30" s="30" t="s">
        <v>168</v>
      </c>
      <c r="B30" s="17" t="s">
        <v>167</v>
      </c>
      <c r="C30" s="30"/>
    </row>
    <row r="31" spans="1:3" ht="30" customHeight="1" x14ac:dyDescent="0.25">
      <c r="A31" s="30" t="s">
        <v>246</v>
      </c>
      <c r="B31" s="17" t="s">
        <v>245</v>
      </c>
      <c r="C31" s="30"/>
    </row>
    <row r="32" spans="1:3" ht="30" customHeight="1" x14ac:dyDescent="0.25">
      <c r="A32" s="30" t="s">
        <v>362</v>
      </c>
      <c r="B32" s="17" t="s">
        <v>188</v>
      </c>
      <c r="C32" s="30"/>
    </row>
    <row r="33" spans="1:3" ht="30" customHeight="1" x14ac:dyDescent="0.25">
      <c r="A33" s="30" t="s">
        <v>218</v>
      </c>
      <c r="B33" s="17" t="s">
        <v>228</v>
      </c>
      <c r="C33" s="30"/>
    </row>
    <row r="34" spans="1:3" ht="30" customHeight="1" x14ac:dyDescent="0.25">
      <c r="A34" s="30" t="s">
        <v>169</v>
      </c>
      <c r="B34" s="17" t="s">
        <v>124</v>
      </c>
      <c r="C34" s="31"/>
    </row>
    <row r="35" spans="1:3" ht="30" customHeight="1" x14ac:dyDescent="0.25">
      <c r="A35" s="30" t="s">
        <v>171</v>
      </c>
      <c r="B35" s="17" t="s">
        <v>170</v>
      </c>
      <c r="C35" s="30"/>
    </row>
    <row r="36" spans="1:3" ht="30" customHeight="1" x14ac:dyDescent="0.25">
      <c r="A36" s="30" t="s">
        <v>219</v>
      </c>
      <c r="B36" s="17" t="s">
        <v>230</v>
      </c>
      <c r="C36" s="30"/>
    </row>
    <row r="37" spans="1:3" ht="30" customHeight="1" x14ac:dyDescent="0.25">
      <c r="A37" s="30" t="s">
        <v>173</v>
      </c>
      <c r="B37" s="17" t="s">
        <v>128</v>
      </c>
      <c r="C37" s="31"/>
    </row>
    <row r="38" spans="1:3" ht="30" customHeight="1" x14ac:dyDescent="0.25">
      <c r="A38" s="30" t="s">
        <v>187</v>
      </c>
      <c r="B38" s="17" t="s">
        <v>186</v>
      </c>
      <c r="C38" s="30"/>
    </row>
    <row r="39" spans="1:3" ht="30" customHeight="1" x14ac:dyDescent="0.25">
      <c r="A39" s="30" t="s">
        <v>208</v>
      </c>
      <c r="B39" s="17" t="s">
        <v>209</v>
      </c>
      <c r="C39" s="30"/>
    </row>
    <row r="40" spans="1:3" ht="30" customHeight="1" x14ac:dyDescent="0.25">
      <c r="A40" s="30" t="s">
        <v>220</v>
      </c>
      <c r="B40" s="17" t="s">
        <v>227</v>
      </c>
      <c r="C40" s="30"/>
    </row>
    <row r="41" spans="1:3" ht="30" customHeight="1" x14ac:dyDescent="0.25">
      <c r="A41" s="30" t="s">
        <v>174</v>
      </c>
      <c r="B41" s="17" t="s">
        <v>175</v>
      </c>
      <c r="C41" s="31"/>
    </row>
    <row r="42" spans="1:3" ht="45.5" customHeight="1" x14ac:dyDescent="0.25">
      <c r="A42" s="30" t="s">
        <v>384</v>
      </c>
      <c r="B42" s="30" t="s">
        <v>247</v>
      </c>
      <c r="C42" s="30"/>
    </row>
    <row r="43" spans="1:3" ht="30" customHeight="1" x14ac:dyDescent="0.25">
      <c r="A43" s="30" t="s">
        <v>221</v>
      </c>
      <c r="B43" s="17" t="s">
        <v>248</v>
      </c>
      <c r="C43" s="30"/>
    </row>
    <row r="44" spans="1:3" ht="45" customHeight="1" x14ac:dyDescent="0.25">
      <c r="A44" s="30" t="s">
        <v>184</v>
      </c>
      <c r="B44" s="17" t="s">
        <v>183</v>
      </c>
      <c r="C44" s="31"/>
    </row>
    <row r="45" spans="1:3" ht="30" customHeight="1" x14ac:dyDescent="0.25">
      <c r="A45" s="30" t="s">
        <v>224</v>
      </c>
      <c r="B45" s="17" t="s">
        <v>226</v>
      </c>
      <c r="C45" s="30"/>
    </row>
    <row r="46" spans="1:3" ht="30" customHeight="1" x14ac:dyDescent="0.25">
      <c r="A46" s="30" t="s">
        <v>202</v>
      </c>
      <c r="B46" s="17" t="s">
        <v>201</v>
      </c>
      <c r="C46" s="30"/>
    </row>
    <row r="47" spans="1:3" ht="30" customHeight="1" x14ac:dyDescent="0.25">
      <c r="A47" s="30" t="s">
        <v>199</v>
      </c>
      <c r="B47" s="17" t="s">
        <v>200</v>
      </c>
      <c r="C47" s="30"/>
    </row>
    <row r="48" spans="1:3" ht="30" customHeight="1" x14ac:dyDescent="0.25">
      <c r="A48" s="30" t="s">
        <v>222</v>
      </c>
      <c r="B48" s="17" t="s">
        <v>232</v>
      </c>
      <c r="C48" s="30"/>
    </row>
    <row r="49" spans="1:3" ht="30" customHeight="1" x14ac:dyDescent="0.25">
      <c r="A49" s="30" t="s">
        <v>177</v>
      </c>
      <c r="B49" s="17" t="s">
        <v>176</v>
      </c>
      <c r="C49" s="31"/>
    </row>
    <row r="50" spans="1:3" ht="30" customHeight="1" x14ac:dyDescent="0.25">
      <c r="A50" s="30" t="s">
        <v>178</v>
      </c>
      <c r="B50" s="17" t="s">
        <v>125</v>
      </c>
      <c r="C50" s="30"/>
    </row>
    <row r="51" spans="1:3" ht="30" customHeight="1" x14ac:dyDescent="0.25">
      <c r="A51" s="30" t="s">
        <v>223</v>
      </c>
      <c r="B51" s="17" t="s">
        <v>233</v>
      </c>
      <c r="C51" s="30"/>
    </row>
    <row r="52" spans="1:3" ht="30" customHeight="1" x14ac:dyDescent="0.25">
      <c r="A52" s="30" t="s">
        <v>180</v>
      </c>
      <c r="B52" s="17" t="s">
        <v>179</v>
      </c>
      <c r="C52" s="30"/>
    </row>
    <row r="53" spans="1:3" ht="30" customHeight="1" x14ac:dyDescent="0.25">
      <c r="A53" s="30" t="s">
        <v>215</v>
      </c>
      <c r="B53" s="17" t="s">
        <v>237</v>
      </c>
      <c r="C53" s="30"/>
    </row>
    <row r="54" spans="1:3" ht="30" customHeight="1" x14ac:dyDescent="0.25">
      <c r="A54" s="30" t="s">
        <v>185</v>
      </c>
      <c r="B54" s="17" t="s">
        <v>197</v>
      </c>
      <c r="C54" s="31"/>
    </row>
    <row r="55" spans="1:3" ht="30" customHeight="1" x14ac:dyDescent="0.25">
      <c r="A55" s="30" t="s">
        <v>225</v>
      </c>
      <c r="B55" s="17" t="s">
        <v>198</v>
      </c>
      <c r="C55" s="30"/>
    </row>
    <row r="56" spans="1:3" ht="30" customHeight="1" x14ac:dyDescent="0.25">
      <c r="A56" s="30" t="s">
        <v>383</v>
      </c>
      <c r="B56" s="17" t="s">
        <v>341</v>
      </c>
      <c r="C56" s="32"/>
    </row>
  </sheetData>
  <mergeCells count="1">
    <mergeCell ref="A4:C4"/>
  </mergeCells>
  <phoneticPr fontId="44" type="noConversion"/>
  <hyperlinks>
    <hyperlink ref="A1" location="Table_of_contents!A1" display="← Return" xr:uid="{3BACD314-A4F3-4B1F-849C-22CE11B22EEE}"/>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CB68D-2430-46B3-AE04-39F5FBC438AA}">
  <sheetPr codeName="Sheet3"/>
  <dimension ref="A1:C80"/>
  <sheetViews>
    <sheetView showGridLines="0" zoomScaleNormal="100" workbookViewId="0">
      <pane ySplit="2" topLeftCell="A3" activePane="bottomLeft" state="frozen"/>
      <selection pane="bottomLeft"/>
    </sheetView>
  </sheetViews>
  <sheetFormatPr baseColWidth="10" defaultColWidth="9.08984375" defaultRowHeight="12.5" x14ac:dyDescent="0.25"/>
  <cols>
    <col min="1" max="1" width="20.7265625" style="49" customWidth="1"/>
    <col min="2" max="2" width="15.7265625" style="49" customWidth="1"/>
    <col min="3" max="3" width="68.7265625" style="49" customWidth="1"/>
    <col min="4" max="16384" width="9.08984375" style="49"/>
  </cols>
  <sheetData>
    <row r="1" spans="1:3" s="64" customFormat="1" ht="30" customHeight="1" x14ac:dyDescent="0.25">
      <c r="A1" s="18" t="s">
        <v>426</v>
      </c>
    </row>
    <row r="2" spans="1:3" ht="25" customHeight="1" x14ac:dyDescent="0.25">
      <c r="A2" s="20" t="s">
        <v>86</v>
      </c>
      <c r="B2" s="20" t="s">
        <v>87</v>
      </c>
      <c r="C2" s="20" t="s">
        <v>88</v>
      </c>
    </row>
    <row r="3" spans="1:3" ht="30" customHeight="1" x14ac:dyDescent="0.25">
      <c r="A3" s="17" t="s">
        <v>0</v>
      </c>
      <c r="B3" s="17" t="s">
        <v>73</v>
      </c>
      <c r="C3" s="17" t="s">
        <v>325</v>
      </c>
    </row>
    <row r="4" spans="1:3" ht="20.25" customHeight="1" x14ac:dyDescent="0.25">
      <c r="A4" s="17" t="s">
        <v>40</v>
      </c>
      <c r="B4" s="17" t="s">
        <v>73</v>
      </c>
      <c r="C4" s="17" t="s">
        <v>327</v>
      </c>
    </row>
    <row r="5" spans="1:3" ht="20.25" customHeight="1" x14ac:dyDescent="0.25">
      <c r="A5" s="17" t="s">
        <v>1</v>
      </c>
      <c r="B5" s="17" t="s">
        <v>77</v>
      </c>
      <c r="C5" s="17" t="s">
        <v>249</v>
      </c>
    </row>
    <row r="6" spans="1:3" ht="20.25" customHeight="1" x14ac:dyDescent="0.25">
      <c r="A6" s="17" t="s">
        <v>2</v>
      </c>
      <c r="B6" s="17" t="s">
        <v>419</v>
      </c>
      <c r="C6" s="17" t="s">
        <v>73</v>
      </c>
    </row>
    <row r="7" spans="1:3" ht="20.25" customHeight="1" x14ac:dyDescent="0.25">
      <c r="A7" s="17" t="s">
        <v>137</v>
      </c>
      <c r="B7" s="17" t="s">
        <v>77</v>
      </c>
      <c r="C7" s="17" t="s">
        <v>250</v>
      </c>
    </row>
    <row r="8" spans="1:3" ht="30" customHeight="1" x14ac:dyDescent="0.25">
      <c r="A8" s="17" t="s">
        <v>135</v>
      </c>
      <c r="B8" s="17" t="s">
        <v>75</v>
      </c>
      <c r="C8" s="17" t="s">
        <v>387</v>
      </c>
    </row>
    <row r="9" spans="1:3" ht="20.149999999999999" customHeight="1" x14ac:dyDescent="0.25">
      <c r="A9" s="17" t="s">
        <v>138</v>
      </c>
      <c r="B9" s="17" t="s">
        <v>75</v>
      </c>
      <c r="C9" s="17" t="s">
        <v>251</v>
      </c>
    </row>
    <row r="10" spans="1:3" ht="20.25" customHeight="1" x14ac:dyDescent="0.25">
      <c r="A10" s="17" t="s">
        <v>133</v>
      </c>
      <c r="B10" s="17" t="s">
        <v>75</v>
      </c>
      <c r="C10" s="17" t="s">
        <v>252</v>
      </c>
    </row>
    <row r="11" spans="1:3" ht="30" customHeight="1" x14ac:dyDescent="0.25">
      <c r="A11" s="17" t="s">
        <v>136</v>
      </c>
      <c r="B11" s="17" t="s">
        <v>76</v>
      </c>
      <c r="C11" s="17" t="s">
        <v>255</v>
      </c>
    </row>
    <row r="12" spans="1:3" ht="30" customHeight="1" x14ac:dyDescent="0.25">
      <c r="A12" s="17" t="s">
        <v>134</v>
      </c>
      <c r="B12" s="17" t="s">
        <v>76</v>
      </c>
      <c r="C12" s="17" t="s">
        <v>256</v>
      </c>
    </row>
    <row r="13" spans="1:3" ht="20.25" customHeight="1" x14ac:dyDescent="0.25">
      <c r="A13" s="17" t="s">
        <v>139</v>
      </c>
      <c r="B13" s="17" t="s">
        <v>76</v>
      </c>
      <c r="C13" s="17" t="s">
        <v>253</v>
      </c>
    </row>
    <row r="14" spans="1:3" ht="20.25" customHeight="1" x14ac:dyDescent="0.25">
      <c r="A14" s="17" t="s">
        <v>3</v>
      </c>
      <c r="B14" s="17" t="s">
        <v>74</v>
      </c>
      <c r="C14" s="17" t="s">
        <v>254</v>
      </c>
    </row>
    <row r="15" spans="1:3" ht="20.25" customHeight="1" x14ac:dyDescent="0.25">
      <c r="A15" s="17" t="s">
        <v>33</v>
      </c>
      <c r="B15" s="17" t="s">
        <v>74</v>
      </c>
      <c r="C15" s="17" t="s">
        <v>257</v>
      </c>
    </row>
    <row r="16" spans="1:3" ht="20.25" customHeight="1" x14ac:dyDescent="0.25">
      <c r="A16" s="17" t="s">
        <v>6</v>
      </c>
      <c r="B16" s="17" t="s">
        <v>74</v>
      </c>
      <c r="C16" s="17" t="s">
        <v>258</v>
      </c>
    </row>
    <row r="17" spans="1:3" ht="20.25" customHeight="1" x14ac:dyDescent="0.25">
      <c r="A17" s="17" t="s">
        <v>4</v>
      </c>
      <c r="B17" s="17" t="s">
        <v>74</v>
      </c>
      <c r="C17" s="17" t="s">
        <v>259</v>
      </c>
    </row>
    <row r="18" spans="1:3" ht="20.25" customHeight="1" x14ac:dyDescent="0.25">
      <c r="A18" s="17" t="s">
        <v>34</v>
      </c>
      <c r="B18" s="17" t="s">
        <v>74</v>
      </c>
      <c r="C18" s="17" t="s">
        <v>260</v>
      </c>
    </row>
    <row r="19" spans="1:3" ht="20.25" customHeight="1" x14ac:dyDescent="0.25">
      <c r="A19" s="17" t="s">
        <v>35</v>
      </c>
      <c r="B19" s="17" t="s">
        <v>74</v>
      </c>
      <c r="C19" s="17" t="s">
        <v>267</v>
      </c>
    </row>
    <row r="20" spans="1:3" ht="20.25" customHeight="1" x14ac:dyDescent="0.25">
      <c r="A20" s="17" t="s">
        <v>61</v>
      </c>
      <c r="B20" s="17" t="s">
        <v>74</v>
      </c>
      <c r="C20" s="17" t="s">
        <v>261</v>
      </c>
    </row>
    <row r="21" spans="1:3" ht="20.25" customHeight="1" x14ac:dyDescent="0.25">
      <c r="A21" s="17" t="s">
        <v>36</v>
      </c>
      <c r="B21" s="17" t="s">
        <v>76</v>
      </c>
      <c r="C21" s="17" t="s">
        <v>262</v>
      </c>
    </row>
    <row r="22" spans="1:3" ht="20.25" customHeight="1" x14ac:dyDescent="0.25">
      <c r="A22" s="17" t="s">
        <v>37</v>
      </c>
      <c r="B22" s="17" t="s">
        <v>76</v>
      </c>
      <c r="C22" s="17" t="s">
        <v>263</v>
      </c>
    </row>
    <row r="23" spans="1:3" ht="20.25" customHeight="1" x14ac:dyDescent="0.25">
      <c r="A23" s="17" t="s">
        <v>5</v>
      </c>
      <c r="B23" s="17" t="s">
        <v>76</v>
      </c>
      <c r="C23" s="17" t="s">
        <v>264</v>
      </c>
    </row>
    <row r="24" spans="1:3" ht="20.25" customHeight="1" x14ac:dyDescent="0.25">
      <c r="A24" s="17" t="s">
        <v>38</v>
      </c>
      <c r="B24" s="17" t="s">
        <v>76</v>
      </c>
      <c r="C24" s="17" t="s">
        <v>265</v>
      </c>
    </row>
    <row r="25" spans="1:3" ht="20.25" customHeight="1" x14ac:dyDescent="0.25">
      <c r="A25" s="17" t="s">
        <v>39</v>
      </c>
      <c r="B25" s="17" t="s">
        <v>76</v>
      </c>
      <c r="C25" s="17" t="s">
        <v>266</v>
      </c>
    </row>
    <row r="26" spans="1:3" ht="20.25" customHeight="1" x14ac:dyDescent="0.25">
      <c r="A26" s="17" t="s">
        <v>62</v>
      </c>
      <c r="B26" s="17" t="s">
        <v>76</v>
      </c>
      <c r="C26" s="17" t="s">
        <v>268</v>
      </c>
    </row>
    <row r="27" spans="1:3" ht="20.25" customHeight="1" x14ac:dyDescent="0.25">
      <c r="A27" s="17" t="s">
        <v>144</v>
      </c>
      <c r="B27" s="17" t="s">
        <v>74</v>
      </c>
      <c r="C27" s="17" t="s">
        <v>271</v>
      </c>
    </row>
    <row r="28" spans="1:3" ht="20.25" customHeight="1" x14ac:dyDescent="0.25">
      <c r="A28" s="17" t="s">
        <v>94</v>
      </c>
      <c r="B28" s="17" t="s">
        <v>74</v>
      </c>
      <c r="C28" s="17" t="s">
        <v>269</v>
      </c>
    </row>
    <row r="29" spans="1:3" ht="20.25" customHeight="1" x14ac:dyDescent="0.25">
      <c r="A29" s="17" t="s">
        <v>146</v>
      </c>
      <c r="B29" s="17" t="s">
        <v>76</v>
      </c>
      <c r="C29" s="17" t="s">
        <v>388</v>
      </c>
    </row>
    <row r="30" spans="1:3" ht="20.25" customHeight="1" x14ac:dyDescent="0.25">
      <c r="A30" s="17" t="s">
        <v>145</v>
      </c>
      <c r="B30" s="17" t="s">
        <v>76</v>
      </c>
      <c r="C30" s="17" t="s">
        <v>389</v>
      </c>
    </row>
    <row r="31" spans="1:3" ht="20.25" customHeight="1" x14ac:dyDescent="0.25">
      <c r="A31" s="17" t="s">
        <v>21</v>
      </c>
      <c r="B31" s="17" t="s">
        <v>79</v>
      </c>
      <c r="C31" s="17" t="s">
        <v>270</v>
      </c>
    </row>
    <row r="32" spans="1:3" ht="20.25" customHeight="1" x14ac:dyDescent="0.25">
      <c r="A32" s="17" t="s">
        <v>83</v>
      </c>
      <c r="B32" s="17" t="s">
        <v>79</v>
      </c>
      <c r="C32" s="17" t="s">
        <v>390</v>
      </c>
    </row>
    <row r="33" spans="1:3" ht="20.25" customHeight="1" x14ac:dyDescent="0.25">
      <c r="A33" s="17" t="s">
        <v>24</v>
      </c>
      <c r="B33" s="17" t="s">
        <v>79</v>
      </c>
      <c r="C33" s="17" t="s">
        <v>272</v>
      </c>
    </row>
    <row r="34" spans="1:3" ht="20.25" customHeight="1" x14ac:dyDescent="0.25">
      <c r="A34" s="17" t="s">
        <v>23</v>
      </c>
      <c r="B34" s="17" t="s">
        <v>79</v>
      </c>
      <c r="C34" s="17" t="s">
        <v>273</v>
      </c>
    </row>
    <row r="35" spans="1:3" ht="20.25" customHeight="1" x14ac:dyDescent="0.25">
      <c r="A35" s="17" t="s">
        <v>103</v>
      </c>
      <c r="B35" s="17" t="s">
        <v>79</v>
      </c>
      <c r="C35" s="17" t="s">
        <v>391</v>
      </c>
    </row>
    <row r="36" spans="1:3" ht="20.25" customHeight="1" x14ac:dyDescent="0.25">
      <c r="A36" s="17" t="s">
        <v>25</v>
      </c>
      <c r="B36" s="17" t="s">
        <v>79</v>
      </c>
      <c r="C36" s="17" t="s">
        <v>274</v>
      </c>
    </row>
    <row r="37" spans="1:3" ht="20.25" customHeight="1" x14ac:dyDescent="0.25">
      <c r="A37" s="17" t="s">
        <v>63</v>
      </c>
      <c r="B37" s="17" t="s">
        <v>79</v>
      </c>
      <c r="C37" s="17" t="s">
        <v>392</v>
      </c>
    </row>
    <row r="38" spans="1:3" ht="20.25" customHeight="1" x14ac:dyDescent="0.25">
      <c r="A38" s="17" t="s">
        <v>26</v>
      </c>
      <c r="B38" s="17" t="s">
        <v>79</v>
      </c>
      <c r="C38" s="17" t="s">
        <v>275</v>
      </c>
    </row>
    <row r="39" spans="1:3" ht="20.25" customHeight="1" x14ac:dyDescent="0.25">
      <c r="A39" s="17" t="s">
        <v>59</v>
      </c>
      <c r="B39" s="17" t="s">
        <v>79</v>
      </c>
      <c r="C39" s="17" t="s">
        <v>276</v>
      </c>
    </row>
    <row r="40" spans="1:3" ht="20.25" customHeight="1" x14ac:dyDescent="0.25">
      <c r="A40" s="17" t="s">
        <v>60</v>
      </c>
      <c r="B40" s="17" t="s">
        <v>79</v>
      </c>
      <c r="C40" s="17" t="s">
        <v>277</v>
      </c>
    </row>
    <row r="41" spans="1:3" ht="20.25" customHeight="1" x14ac:dyDescent="0.25">
      <c r="A41" s="17" t="s">
        <v>155</v>
      </c>
      <c r="B41" s="17" t="s">
        <v>79</v>
      </c>
      <c r="C41" s="17" t="s">
        <v>278</v>
      </c>
    </row>
    <row r="42" spans="1:3" ht="20.25" customHeight="1" x14ac:dyDescent="0.25">
      <c r="A42" s="17" t="s">
        <v>156</v>
      </c>
      <c r="B42" s="17" t="s">
        <v>79</v>
      </c>
      <c r="C42" s="17" t="s">
        <v>279</v>
      </c>
    </row>
    <row r="43" spans="1:3" ht="20.25" customHeight="1" x14ac:dyDescent="0.25">
      <c r="A43" s="17" t="s">
        <v>27</v>
      </c>
      <c r="B43" s="17" t="s">
        <v>79</v>
      </c>
      <c r="C43" s="17" t="s">
        <v>280</v>
      </c>
    </row>
    <row r="44" spans="1:3" ht="20.25" customHeight="1" x14ac:dyDescent="0.25">
      <c r="A44" s="17" t="s">
        <v>105</v>
      </c>
      <c r="B44" s="17" t="s">
        <v>76</v>
      </c>
      <c r="C44" s="17" t="s">
        <v>393</v>
      </c>
    </row>
    <row r="45" spans="1:3" ht="20.25" customHeight="1" x14ac:dyDescent="0.25">
      <c r="A45" s="17" t="s">
        <v>30</v>
      </c>
      <c r="B45" s="17" t="s">
        <v>76</v>
      </c>
      <c r="C45" s="17" t="s">
        <v>281</v>
      </c>
    </row>
    <row r="46" spans="1:3" ht="20.25" customHeight="1" x14ac:dyDescent="0.25">
      <c r="A46" s="17" t="s">
        <v>29</v>
      </c>
      <c r="B46" s="17" t="s">
        <v>76</v>
      </c>
      <c r="C46" s="17" t="s">
        <v>282</v>
      </c>
    </row>
    <row r="47" spans="1:3" ht="20.25" customHeight="1" x14ac:dyDescent="0.25">
      <c r="A47" s="17" t="s">
        <v>104</v>
      </c>
      <c r="B47" s="17" t="s">
        <v>76</v>
      </c>
      <c r="C47" s="17" t="s">
        <v>394</v>
      </c>
    </row>
    <row r="48" spans="1:3" ht="20.25" customHeight="1" x14ac:dyDescent="0.25">
      <c r="A48" s="17" t="s">
        <v>31</v>
      </c>
      <c r="B48" s="17" t="s">
        <v>76</v>
      </c>
      <c r="C48" s="17" t="s">
        <v>283</v>
      </c>
    </row>
    <row r="49" spans="1:3" ht="20.25" customHeight="1" x14ac:dyDescent="0.25">
      <c r="A49" s="17" t="s">
        <v>64</v>
      </c>
      <c r="B49" s="17" t="s">
        <v>76</v>
      </c>
      <c r="C49" s="17" t="s">
        <v>289</v>
      </c>
    </row>
    <row r="50" spans="1:3" ht="20.25" customHeight="1" x14ac:dyDescent="0.25">
      <c r="A50" s="17" t="s">
        <v>32</v>
      </c>
      <c r="B50" s="17" t="s">
        <v>76</v>
      </c>
      <c r="C50" s="17" t="s">
        <v>284</v>
      </c>
    </row>
    <row r="51" spans="1:3" ht="20.25" customHeight="1" x14ac:dyDescent="0.25">
      <c r="A51" s="17" t="s">
        <v>67</v>
      </c>
      <c r="B51" s="17" t="s">
        <v>76</v>
      </c>
      <c r="C51" s="17" t="s">
        <v>285</v>
      </c>
    </row>
    <row r="52" spans="1:3" ht="20.25" customHeight="1" x14ac:dyDescent="0.25">
      <c r="A52" s="17" t="s">
        <v>68</v>
      </c>
      <c r="B52" s="17" t="s">
        <v>76</v>
      </c>
      <c r="C52" s="17" t="s">
        <v>286</v>
      </c>
    </row>
    <row r="53" spans="1:3" ht="20.25" customHeight="1" x14ac:dyDescent="0.25">
      <c r="A53" s="17" t="s">
        <v>154</v>
      </c>
      <c r="B53" s="17" t="s">
        <v>76</v>
      </c>
      <c r="C53" s="17" t="s">
        <v>287</v>
      </c>
    </row>
    <row r="54" spans="1:3" ht="20.25" customHeight="1" x14ac:dyDescent="0.25">
      <c r="A54" s="17" t="s">
        <v>153</v>
      </c>
      <c r="B54" s="17" t="s">
        <v>76</v>
      </c>
      <c r="C54" s="17" t="s">
        <v>288</v>
      </c>
    </row>
    <row r="55" spans="1:3" ht="20.25" customHeight="1" x14ac:dyDescent="0.25">
      <c r="A55" s="17" t="s">
        <v>93</v>
      </c>
      <c r="B55" s="17" t="s">
        <v>76</v>
      </c>
      <c r="C55" s="17" t="s">
        <v>290</v>
      </c>
    </row>
    <row r="56" spans="1:3" ht="20.25" customHeight="1" x14ac:dyDescent="0.25">
      <c r="A56" s="17" t="s">
        <v>7</v>
      </c>
      <c r="B56" s="17" t="s">
        <v>395</v>
      </c>
      <c r="C56" s="17" t="s">
        <v>291</v>
      </c>
    </row>
    <row r="57" spans="1:3" ht="20.25" customHeight="1" x14ac:dyDescent="0.25">
      <c r="A57" s="17" t="s">
        <v>95</v>
      </c>
      <c r="B57" s="17" t="s">
        <v>395</v>
      </c>
      <c r="C57" s="17" t="s">
        <v>295</v>
      </c>
    </row>
    <row r="58" spans="1:3" ht="20.25" customHeight="1" x14ac:dyDescent="0.25">
      <c r="A58" s="17" t="s">
        <v>8</v>
      </c>
      <c r="B58" s="17" t="s">
        <v>395</v>
      </c>
      <c r="C58" s="17" t="s">
        <v>292</v>
      </c>
    </row>
    <row r="59" spans="1:3" ht="20.25" customHeight="1" x14ac:dyDescent="0.25">
      <c r="A59" s="17" t="s">
        <v>10</v>
      </c>
      <c r="B59" s="17" t="s">
        <v>395</v>
      </c>
      <c r="C59" s="17" t="s">
        <v>293</v>
      </c>
    </row>
    <row r="60" spans="1:3" ht="20.25" customHeight="1" x14ac:dyDescent="0.25">
      <c r="A60" s="17" t="s">
        <v>106</v>
      </c>
      <c r="B60" s="17" t="s">
        <v>395</v>
      </c>
      <c r="C60" s="17" t="s">
        <v>294</v>
      </c>
    </row>
    <row r="61" spans="1:3" ht="20.25" customHeight="1" x14ac:dyDescent="0.25">
      <c r="A61" s="17" t="s">
        <v>14</v>
      </c>
      <c r="B61" s="17" t="s">
        <v>395</v>
      </c>
      <c r="C61" s="17" t="s">
        <v>296</v>
      </c>
    </row>
    <row r="62" spans="1:3" ht="20.25" customHeight="1" x14ac:dyDescent="0.25">
      <c r="A62" s="17" t="s">
        <v>65</v>
      </c>
      <c r="B62" s="17" t="s">
        <v>395</v>
      </c>
      <c r="C62" s="17" t="s">
        <v>302</v>
      </c>
    </row>
    <row r="63" spans="1:3" ht="20.25" customHeight="1" x14ac:dyDescent="0.25">
      <c r="A63" s="17" t="s">
        <v>17</v>
      </c>
      <c r="B63" s="17" t="s">
        <v>395</v>
      </c>
      <c r="C63" s="17" t="s">
        <v>297</v>
      </c>
    </row>
    <row r="64" spans="1:3" ht="20.25" customHeight="1" x14ac:dyDescent="0.25">
      <c r="A64" s="17" t="s">
        <v>69</v>
      </c>
      <c r="B64" s="17" t="s">
        <v>395</v>
      </c>
      <c r="C64" s="17" t="s">
        <v>298</v>
      </c>
    </row>
    <row r="65" spans="1:3" ht="20.25" customHeight="1" x14ac:dyDescent="0.25">
      <c r="A65" s="17" t="s">
        <v>70</v>
      </c>
      <c r="B65" s="17" t="s">
        <v>395</v>
      </c>
      <c r="C65" s="17" t="s">
        <v>299</v>
      </c>
    </row>
    <row r="66" spans="1:3" ht="20.25" customHeight="1" x14ac:dyDescent="0.25">
      <c r="A66" s="17" t="s">
        <v>160</v>
      </c>
      <c r="B66" s="17" t="s">
        <v>395</v>
      </c>
      <c r="C66" s="17" t="s">
        <v>300</v>
      </c>
    </row>
    <row r="67" spans="1:3" ht="20.25" customHeight="1" x14ac:dyDescent="0.25">
      <c r="A67" s="17" t="s">
        <v>159</v>
      </c>
      <c r="B67" s="17" t="s">
        <v>395</v>
      </c>
      <c r="C67" s="17" t="s">
        <v>301</v>
      </c>
    </row>
    <row r="68" spans="1:3" ht="20.25" customHeight="1" x14ac:dyDescent="0.25">
      <c r="A68" s="17" t="s">
        <v>18</v>
      </c>
      <c r="B68" s="17" t="s">
        <v>395</v>
      </c>
      <c r="C68" s="17" t="s">
        <v>303</v>
      </c>
    </row>
    <row r="69" spans="1:3" ht="20.25" customHeight="1" x14ac:dyDescent="0.25">
      <c r="A69" s="17" t="s">
        <v>96</v>
      </c>
      <c r="B69" s="17" t="s">
        <v>76</v>
      </c>
      <c r="C69" s="17" t="s">
        <v>304</v>
      </c>
    </row>
    <row r="70" spans="1:3" ht="20.25" customHeight="1" x14ac:dyDescent="0.25">
      <c r="A70" s="17" t="s">
        <v>9</v>
      </c>
      <c r="B70" s="17" t="s">
        <v>76</v>
      </c>
      <c r="C70" s="17" t="s">
        <v>305</v>
      </c>
    </row>
    <row r="71" spans="1:3" ht="20.25" customHeight="1" x14ac:dyDescent="0.25">
      <c r="A71" s="17" t="s">
        <v>13</v>
      </c>
      <c r="B71" s="17" t="s">
        <v>76</v>
      </c>
      <c r="C71" s="17" t="s">
        <v>306</v>
      </c>
    </row>
    <row r="72" spans="1:3" ht="20.25" customHeight="1" x14ac:dyDescent="0.25">
      <c r="A72" s="17" t="s">
        <v>107</v>
      </c>
      <c r="B72" s="17" t="s">
        <v>76</v>
      </c>
      <c r="C72" s="17" t="s">
        <v>307</v>
      </c>
    </row>
    <row r="73" spans="1:3" ht="20.25" customHeight="1" x14ac:dyDescent="0.25">
      <c r="A73" s="17" t="s">
        <v>16</v>
      </c>
      <c r="B73" s="17" t="s">
        <v>76</v>
      </c>
      <c r="C73" s="17" t="s">
        <v>308</v>
      </c>
    </row>
    <row r="74" spans="1:3" ht="20.25" customHeight="1" x14ac:dyDescent="0.25">
      <c r="A74" s="17" t="s">
        <v>66</v>
      </c>
      <c r="B74" s="17" t="s">
        <v>76</v>
      </c>
      <c r="C74" s="17" t="s">
        <v>314</v>
      </c>
    </row>
    <row r="75" spans="1:3" ht="20.25" customHeight="1" x14ac:dyDescent="0.25">
      <c r="A75" s="17" t="s">
        <v>15</v>
      </c>
      <c r="B75" s="17" t="s">
        <v>76</v>
      </c>
      <c r="C75" s="17" t="s">
        <v>309</v>
      </c>
    </row>
    <row r="76" spans="1:3" ht="20.25" customHeight="1" x14ac:dyDescent="0.25">
      <c r="A76" s="17" t="s">
        <v>71</v>
      </c>
      <c r="B76" s="17" t="s">
        <v>76</v>
      </c>
      <c r="C76" s="17" t="s">
        <v>310</v>
      </c>
    </row>
    <row r="77" spans="1:3" ht="20.25" customHeight="1" x14ac:dyDescent="0.25">
      <c r="A77" s="17" t="s">
        <v>72</v>
      </c>
      <c r="B77" s="17" t="s">
        <v>76</v>
      </c>
      <c r="C77" s="17" t="s">
        <v>311</v>
      </c>
    </row>
    <row r="78" spans="1:3" ht="20.25" customHeight="1" x14ac:dyDescent="0.25">
      <c r="A78" s="17" t="s">
        <v>158</v>
      </c>
      <c r="B78" s="17" t="s">
        <v>76</v>
      </c>
      <c r="C78" s="17" t="s">
        <v>312</v>
      </c>
    </row>
    <row r="79" spans="1:3" ht="20.25" customHeight="1" x14ac:dyDescent="0.25">
      <c r="A79" s="17" t="s">
        <v>157</v>
      </c>
      <c r="B79" s="17" t="s">
        <v>76</v>
      </c>
      <c r="C79" s="17" t="s">
        <v>313</v>
      </c>
    </row>
    <row r="80" spans="1:3" ht="20.25" customHeight="1" x14ac:dyDescent="0.25">
      <c r="A80" s="17" t="s">
        <v>19</v>
      </c>
      <c r="B80" s="17" t="s">
        <v>76</v>
      </c>
      <c r="C80" s="17" t="s">
        <v>315</v>
      </c>
    </row>
  </sheetData>
  <hyperlinks>
    <hyperlink ref="A1" location="Table_of_contents!A1" display="← Return" xr:uid="{9336C96D-872C-4E84-8C9D-92045D4ED370}"/>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26A51-A0D7-4BB1-A447-6EE765F003CA}">
  <sheetPr codeName="Sheet4"/>
  <dimension ref="A1:CH33"/>
  <sheetViews>
    <sheetView showGridLines="0" zoomScaleNormal="100" workbookViewId="0">
      <pane xSplit="2" ySplit="2" topLeftCell="C3" activePane="bottomRight" state="frozen"/>
      <selection pane="topRight" activeCell="C1" sqref="C1"/>
      <selection pane="bottomLeft" activeCell="A2" sqref="A2"/>
      <selection pane="bottomRight"/>
    </sheetView>
  </sheetViews>
  <sheetFormatPr baseColWidth="10" defaultColWidth="9.08984375" defaultRowHeight="12.5" x14ac:dyDescent="0.25"/>
  <cols>
    <col min="1" max="2" width="15.7265625" customWidth="1"/>
    <col min="3" max="6" width="15.7265625" style="13" customWidth="1"/>
    <col min="7" max="7" width="15.7265625" style="15" customWidth="1"/>
    <col min="8" max="12" width="15.7265625" style="13" customWidth="1"/>
    <col min="13" max="13" width="15.7265625" style="12" customWidth="1"/>
    <col min="14" max="18" width="15.7265625" style="13" customWidth="1"/>
    <col min="19" max="19" width="15.7265625" style="12" customWidth="1"/>
    <col min="20" max="29" width="15.7265625" style="13" customWidth="1"/>
    <col min="30" max="30" width="15.7265625" style="14" customWidth="1"/>
    <col min="31" max="32" width="15.7265625" style="13" customWidth="1"/>
    <col min="33" max="33" width="15.7265625" customWidth="1"/>
    <col min="34" max="35" width="15.7265625" style="7" customWidth="1"/>
    <col min="36" max="37" width="15.7265625" customWidth="1"/>
    <col min="38" max="40" width="15.7265625" style="7" customWidth="1"/>
    <col min="41" max="41" width="15.7265625" customWidth="1"/>
    <col min="42" max="45" width="15.7265625" style="7" customWidth="1"/>
    <col min="46" max="47" width="15.7265625" customWidth="1"/>
    <col min="48" max="48" width="15.7265625" style="7" customWidth="1"/>
    <col min="49" max="49" width="15.7265625" customWidth="1"/>
    <col min="50" max="50" width="15.7265625" style="14" customWidth="1"/>
    <col min="51" max="51" width="15.7265625" style="7" customWidth="1"/>
    <col min="52" max="53" width="15.7265625" style="14" customWidth="1"/>
    <col min="54" max="54" width="15.7265625" customWidth="1"/>
    <col min="55" max="60" width="15.7265625" style="14" customWidth="1"/>
    <col min="61" max="63" width="15.7265625" customWidth="1"/>
    <col min="64" max="67" width="15.7265625" style="14" customWidth="1"/>
    <col min="68" max="68" width="15.7265625" customWidth="1"/>
    <col min="69" max="71" width="15.7265625" style="7" customWidth="1"/>
    <col min="72" max="72" width="15.7265625" customWidth="1"/>
    <col min="73" max="73" width="15.7265625" style="7" customWidth="1"/>
    <col min="74" max="74" width="15.7265625" customWidth="1"/>
    <col min="76" max="76" width="15.7265625" style="14" customWidth="1"/>
    <col min="77" max="80" width="15.7265625" style="7" customWidth="1"/>
    <col min="82" max="85" width="15.7265625" style="7" customWidth="1"/>
    <col min="86" max="86" width="15.7265625" style="13" customWidth="1"/>
    <col min="87" max="91" width="15.7265625" style="7" customWidth="1"/>
    <col min="92" max="16384" width="9.08984375" style="7"/>
  </cols>
  <sheetData>
    <row r="1" spans="1:86" s="70" customFormat="1" ht="30" customHeight="1" x14ac:dyDescent="0.25">
      <c r="A1" s="18" t="s">
        <v>426</v>
      </c>
      <c r="B1" s="65"/>
      <c r="C1" s="66"/>
      <c r="D1" s="66"/>
      <c r="E1" s="66"/>
      <c r="F1" s="66"/>
      <c r="G1" s="67"/>
      <c r="H1" s="66"/>
      <c r="I1" s="66"/>
      <c r="J1" s="66"/>
      <c r="K1" s="66"/>
      <c r="L1" s="66"/>
      <c r="M1" s="68"/>
      <c r="N1" s="66"/>
      <c r="O1" s="66"/>
      <c r="P1" s="66"/>
      <c r="Q1" s="66"/>
      <c r="R1" s="66"/>
      <c r="S1" s="68"/>
      <c r="T1" s="66"/>
      <c r="U1" s="66"/>
      <c r="V1" s="66"/>
      <c r="W1" s="66"/>
      <c r="X1" s="66"/>
      <c r="Y1" s="66"/>
      <c r="Z1" s="66"/>
      <c r="AA1" s="66"/>
      <c r="AB1" s="66"/>
      <c r="AC1" s="66"/>
      <c r="AD1" s="69"/>
      <c r="AE1" s="66"/>
      <c r="AF1" s="66"/>
      <c r="AG1" s="65"/>
      <c r="AJ1" s="65"/>
      <c r="AK1" s="65"/>
      <c r="AO1" s="65"/>
      <c r="AT1" s="65"/>
      <c r="AU1" s="65"/>
      <c r="AW1" s="65"/>
      <c r="AX1" s="69"/>
      <c r="AZ1" s="69"/>
      <c r="BA1" s="69"/>
      <c r="BB1" s="65"/>
      <c r="BC1" s="69"/>
      <c r="BD1" s="69"/>
      <c r="BE1" s="69"/>
      <c r="BF1" s="69"/>
      <c r="BG1" s="69"/>
      <c r="BH1" s="69"/>
      <c r="BI1" s="65"/>
      <c r="BJ1" s="65"/>
      <c r="BK1" s="65"/>
      <c r="BL1" s="69"/>
      <c r="BM1" s="69"/>
      <c r="BN1" s="69"/>
      <c r="BO1" s="69"/>
      <c r="BP1" s="65"/>
      <c r="BT1" s="65"/>
      <c r="BV1" s="65"/>
      <c r="BW1" s="65"/>
      <c r="BX1" s="69"/>
      <c r="CC1" s="65"/>
      <c r="CH1" s="66"/>
    </row>
    <row r="2" spans="1:86" s="36" customFormat="1" ht="25" customHeight="1" thickBot="1" x14ac:dyDescent="0.3">
      <c r="A2" s="33" t="s">
        <v>0</v>
      </c>
      <c r="B2" s="33" t="s">
        <v>40</v>
      </c>
      <c r="C2" s="34" t="s">
        <v>1</v>
      </c>
      <c r="D2" s="34" t="s">
        <v>2</v>
      </c>
      <c r="E2" s="34" t="s">
        <v>137</v>
      </c>
      <c r="F2" s="34" t="s">
        <v>135</v>
      </c>
      <c r="G2" s="34" t="s">
        <v>138</v>
      </c>
      <c r="H2" s="34" t="s">
        <v>133</v>
      </c>
      <c r="I2" s="34" t="s">
        <v>136</v>
      </c>
      <c r="J2" s="35" t="s">
        <v>134</v>
      </c>
      <c r="K2" s="35" t="s">
        <v>139</v>
      </c>
      <c r="L2" s="34" t="s">
        <v>3</v>
      </c>
      <c r="M2" s="34" t="s">
        <v>33</v>
      </c>
      <c r="N2" s="34" t="s">
        <v>6</v>
      </c>
      <c r="O2" s="34" t="s">
        <v>4</v>
      </c>
      <c r="P2" s="34" t="s">
        <v>34</v>
      </c>
      <c r="Q2" s="34" t="s">
        <v>35</v>
      </c>
      <c r="R2" s="34" t="s">
        <v>61</v>
      </c>
      <c r="S2" s="34" t="s">
        <v>36</v>
      </c>
      <c r="T2" s="34" t="s">
        <v>37</v>
      </c>
      <c r="U2" s="34" t="s">
        <v>5</v>
      </c>
      <c r="V2" s="34" t="s">
        <v>38</v>
      </c>
      <c r="W2" s="34" t="s">
        <v>39</v>
      </c>
      <c r="X2" s="34" t="s">
        <v>62</v>
      </c>
      <c r="Y2" s="34" t="s">
        <v>144</v>
      </c>
      <c r="Z2" s="34" t="s">
        <v>94</v>
      </c>
      <c r="AA2" s="34" t="s">
        <v>146</v>
      </c>
      <c r="AB2" s="34" t="s">
        <v>145</v>
      </c>
      <c r="AC2" s="34" t="s">
        <v>21</v>
      </c>
      <c r="AD2" s="34" t="s">
        <v>83</v>
      </c>
      <c r="AE2" s="34" t="s">
        <v>23</v>
      </c>
      <c r="AF2" s="34" t="s">
        <v>24</v>
      </c>
      <c r="AG2" s="34" t="s">
        <v>103</v>
      </c>
      <c r="AH2" s="34" t="s">
        <v>25</v>
      </c>
      <c r="AI2" s="33" t="s">
        <v>63</v>
      </c>
      <c r="AJ2" s="34" t="s">
        <v>26</v>
      </c>
      <c r="AK2" s="34" t="s">
        <v>59</v>
      </c>
      <c r="AL2" s="34" t="s">
        <v>60</v>
      </c>
      <c r="AM2" s="34" t="s">
        <v>155</v>
      </c>
      <c r="AN2" s="33" t="s">
        <v>156</v>
      </c>
      <c r="AO2" s="33" t="s">
        <v>105</v>
      </c>
      <c r="AP2" s="33" t="s">
        <v>29</v>
      </c>
      <c r="AQ2" s="33" t="s">
        <v>30</v>
      </c>
      <c r="AR2" s="33" t="s">
        <v>104</v>
      </c>
      <c r="AS2" s="33" t="s">
        <v>31</v>
      </c>
      <c r="AT2" s="33" t="s">
        <v>64</v>
      </c>
      <c r="AU2" s="33" t="s">
        <v>32</v>
      </c>
      <c r="AV2" s="33" t="s">
        <v>67</v>
      </c>
      <c r="AW2" s="33" t="s">
        <v>68</v>
      </c>
      <c r="AX2" s="33" t="s">
        <v>154</v>
      </c>
      <c r="AY2" s="33" t="s">
        <v>153</v>
      </c>
      <c r="AZ2" s="34" t="s">
        <v>7</v>
      </c>
      <c r="BA2" s="34" t="s">
        <v>95</v>
      </c>
      <c r="BB2" s="34" t="s">
        <v>10</v>
      </c>
      <c r="BC2" s="34" t="s">
        <v>8</v>
      </c>
      <c r="BD2" s="34" t="s">
        <v>106</v>
      </c>
      <c r="BE2" s="34" t="s">
        <v>14</v>
      </c>
      <c r="BF2" s="33" t="s">
        <v>65</v>
      </c>
      <c r="BG2" s="34" t="s">
        <v>17</v>
      </c>
      <c r="BH2" s="34" t="s">
        <v>69</v>
      </c>
      <c r="BI2" s="34" t="s">
        <v>70</v>
      </c>
      <c r="BJ2" s="34" t="s">
        <v>160</v>
      </c>
      <c r="BK2" s="33" t="s">
        <v>159</v>
      </c>
      <c r="BL2" s="33" t="s">
        <v>96</v>
      </c>
      <c r="BM2" s="33" t="s">
        <v>13</v>
      </c>
      <c r="BN2" s="33" t="s">
        <v>9</v>
      </c>
      <c r="BO2" s="33" t="s">
        <v>107</v>
      </c>
      <c r="BP2" s="33" t="s">
        <v>16</v>
      </c>
      <c r="BQ2" s="33" t="s">
        <v>66</v>
      </c>
      <c r="BR2" s="33" t="s">
        <v>15</v>
      </c>
      <c r="BS2" s="33" t="s">
        <v>71</v>
      </c>
      <c r="BT2" s="33" t="s">
        <v>72</v>
      </c>
      <c r="BU2" s="33" t="s">
        <v>158</v>
      </c>
      <c r="BV2" s="33" t="s">
        <v>157</v>
      </c>
    </row>
    <row r="3" spans="1:86" s="1" customFormat="1" ht="25.5" customHeight="1" x14ac:dyDescent="0.25">
      <c r="A3" s="23" t="s">
        <v>316</v>
      </c>
      <c r="B3" s="23">
        <v>2021</v>
      </c>
      <c r="C3" s="24">
        <v>17820459.508852199</v>
      </c>
      <c r="D3" s="24">
        <v>1412.36</v>
      </c>
      <c r="E3" s="24">
        <f>Data_country[[#This Row],[gdp]]/Data_country[[#This Row],[population]]</f>
        <v>12617.505104118072</v>
      </c>
      <c r="F3" s="24">
        <v>11941.3452985287</v>
      </c>
      <c r="G3" s="24">
        <f>Data_country[[#This Row],[co2_total]]/Data_country[[#This Row],[population]]</f>
        <v>8.4548877754458509</v>
      </c>
      <c r="H3" s="24">
        <v>5018.82</v>
      </c>
      <c r="I3" s="24">
        <f>Data_country[[#This Row],[co2_power_fossil]]/Data_country[[#This Row],[co2_total]]*100</f>
        <v>42.028932875916176</v>
      </c>
      <c r="J3" s="25">
        <f>Data_country[[#This Row],[co2_power_fossil]]/H30*100</f>
        <v>37.190356392576476</v>
      </c>
      <c r="K3" s="25">
        <v>28.5</v>
      </c>
      <c r="L3" s="24">
        <v>157.8492196444422</v>
      </c>
      <c r="M3" s="24">
        <v>29.426740646362305</v>
      </c>
      <c r="N3" s="24">
        <v>13.689645767211914</v>
      </c>
      <c r="O3" s="24">
        <v>87.535713195800781</v>
      </c>
      <c r="P3" s="24">
        <v>3.6835675239562988</v>
      </c>
      <c r="Q3" s="24">
        <v>12.246047973632813</v>
      </c>
      <c r="R3" s="24">
        <v>11.267504537478089</v>
      </c>
      <c r="S3" s="24">
        <f>M3/L3*100</f>
        <v>18.642309865482069</v>
      </c>
      <c r="T3" s="24">
        <f>N3/L3*100</f>
        <v>8.6726090873607422</v>
      </c>
      <c r="U3" s="24">
        <f>O3/L3*100</f>
        <v>55.455271424829547</v>
      </c>
      <c r="V3" s="24">
        <f>P3/L3*100</f>
        <v>2.3335988180705556</v>
      </c>
      <c r="W3" s="24">
        <f>Q3/L3*100</f>
        <v>7.7580668445604131</v>
      </c>
      <c r="X3" s="24">
        <f>R3/L3*100</f>
        <v>7.1381439596966763</v>
      </c>
      <c r="Y3" s="24">
        <v>7.5318088531494141</v>
      </c>
      <c r="Z3" s="24">
        <v>83.440711975097656</v>
      </c>
      <c r="AA3" s="24">
        <f>(1-Data_country[[#This Row],[pro_gas]]/Data_country[[#This Row],[pricon_gas]])*100</f>
        <v>44.981711132446847</v>
      </c>
      <c r="AB3" s="24">
        <f>(1-Data_country[[#This Row],[pro_coal]]/Data_country[[#This Row],[pricon_coal]])*100</f>
        <v>4.6780920280427569</v>
      </c>
      <c r="AC3" s="24">
        <f>Data_country[[#This Row],[ic_gas]]+Data_country[[#This Row],[ic_coal]]+Data_country[[#This Row],[ic_other_fossil]]+Data_country[[#This Row],[ic_nuc]]+Data_country[[#This Row],[ic_h2o]]+Data_country[[#This Row],[ic_wind]]+Data_country[[#This Row],[ic_solar]]+Data_country[[#This Row],[ic_bio]]+Data_country[[#This Row],[ic_other_re]]</f>
        <v>2253.2399999999998</v>
      </c>
      <c r="AD3" s="24">
        <v>1192.81</v>
      </c>
      <c r="AE3" s="24">
        <v>108.44</v>
      </c>
      <c r="AF3" s="24">
        <v>1071.8399999999999</v>
      </c>
      <c r="AG3" s="24">
        <v>12.53</v>
      </c>
      <c r="AH3" s="24">
        <v>53.26</v>
      </c>
      <c r="AI3" s="24">
        <v>1007.17</v>
      </c>
      <c r="AJ3" s="24">
        <v>354.53</v>
      </c>
      <c r="AK3" s="24">
        <v>328.97</v>
      </c>
      <c r="AL3" s="24">
        <v>306.97000000000003</v>
      </c>
      <c r="AM3" s="24">
        <v>16.7</v>
      </c>
      <c r="AN3" s="24">
        <v>0</v>
      </c>
      <c r="AO3" s="25">
        <f>Data_country[[#This Row],[ic_fossil]]/Data_country[[#This Row],[ic_total]]*100</f>
        <v>52.937547709076718</v>
      </c>
      <c r="AP3" s="25">
        <f>Data_country[[#This Row],[ic_gas]]/Data_country[[#This Row],[ic_total]]*100</f>
        <v>4.8126253750155339</v>
      </c>
      <c r="AQ3" s="25">
        <f>Data_country[[#This Row],[ic_coal]]/Data_country[[#This Row],[ic_total]]*100</f>
        <v>47.568834212067955</v>
      </c>
      <c r="AR3" s="25">
        <f>Data_country[[#This Row],[ic_other_fossil]]/Data_country[[#This Row],[ic_total]]*100</f>
        <v>0.55608812199321878</v>
      </c>
      <c r="AS3" s="25">
        <f>Data_country[[#This Row],[ic_nuc]]/Data_country[[#This Row],[ic_total]]*100</f>
        <v>2.3637073724947189</v>
      </c>
      <c r="AT3" s="25">
        <f>Data_country[[#This Row],[ic_re]]/Data_country[[#This Row],[ic_total]]*100</f>
        <v>44.698744918428581</v>
      </c>
      <c r="AU3" s="25">
        <f>Data_country[[#This Row],[ic_h2o]]/Data_country[[#This Row],[ic_total]]*100</f>
        <v>15.734231595391526</v>
      </c>
      <c r="AV3" s="25">
        <f>Data_country[[#This Row],[ic_wind]]/Data_country[[#This Row],[ic_total]]*100</f>
        <v>14.599865083169128</v>
      </c>
      <c r="AW3" s="25">
        <f>Data_country[[#This Row],[ic_solar]]/Data_country[[#This Row],[ic_total]]*100</f>
        <v>13.62349328078678</v>
      </c>
      <c r="AX3" s="25">
        <f>Data_country[[#This Row],[ic_bio]]/Data_country[[#This Row],[ic_total]]*100</f>
        <v>0.74115495908114548</v>
      </c>
      <c r="AY3" s="25">
        <f>Data_country[[#This Row],[ic_other_re]]/Data_country[[#This Row],[ic_total]]*100</f>
        <v>0</v>
      </c>
      <c r="AZ3" s="24">
        <v>8534.26</v>
      </c>
      <c r="BA3" s="24">
        <v>5678.03</v>
      </c>
      <c r="BB3" s="24">
        <v>287.10000000000002</v>
      </c>
      <c r="BC3" s="24">
        <v>5333.87</v>
      </c>
      <c r="BD3" s="24">
        <v>57.06</v>
      </c>
      <c r="BE3" s="24">
        <v>407.5</v>
      </c>
      <c r="BF3" s="24">
        <v>2448.73</v>
      </c>
      <c r="BG3" s="24">
        <v>1300</v>
      </c>
      <c r="BH3" s="24">
        <v>655.8</v>
      </c>
      <c r="BI3" s="24">
        <v>327</v>
      </c>
      <c r="BJ3" s="24">
        <v>165.93</v>
      </c>
      <c r="BK3" s="24">
        <v>0</v>
      </c>
      <c r="BL3" s="25">
        <f>Data_country[[#This Row],[gen_fossil]]/Data_country[[#This Row],[gen_total]]*100</f>
        <v>66.532189082591813</v>
      </c>
      <c r="BM3" s="25">
        <f>Data_country[[#This Row],[gen_gas]]/Data_country[[#This Row],[gen_total]]*100</f>
        <v>3.3640878060898078</v>
      </c>
      <c r="BN3" s="25">
        <f>Data_country[[#This Row],[gen_coal]]/Data_country[[#This Row],[gen_total]]*100</f>
        <v>62.499502007203901</v>
      </c>
      <c r="BO3" s="25">
        <f>Data_country[[#This Row],[gen_other_fossil]]/Data_country[[#This Row],[gen_total]]*100</f>
        <v>0.66859926929809965</v>
      </c>
      <c r="BP3" s="25">
        <f>Data_country[[#This Row],[gen_nuc]]/Data_country[[#This Row],[gen_total]]*100</f>
        <v>4.7748721037324851</v>
      </c>
      <c r="BQ3" s="25">
        <f>Data_country[[#This Row],[gen_re]]/Data_country[[#This Row],[gen_total]]*100</f>
        <v>28.692938813675699</v>
      </c>
      <c r="BR3" s="25">
        <f>Data_country[[#This Row],[gen_h2o]]/Data_country[[#This Row],[gen_total]]*100</f>
        <v>15.232720821723266</v>
      </c>
      <c r="BS3" s="25">
        <f>Data_country[[#This Row],[gen_wind]]/Data_country[[#This Row],[gen_total]]*100</f>
        <v>7.6843217806816284</v>
      </c>
      <c r="BT3" s="25">
        <f>Data_country[[#This Row],[gen_solar]]/Data_country[[#This Row],[gen_total]]*100</f>
        <v>3.8316151605411597</v>
      </c>
      <c r="BU3" s="25">
        <f>Data_country[[#This Row],[gen_bio]]/Data_country[[#This Row],[gen_total]]*100</f>
        <v>1.9442810507296473</v>
      </c>
      <c r="BV3" s="25">
        <f>Data_country[[#This Row],[gen_other_re]]/Data_country[[#This Row],[gen_total]]*100</f>
        <v>0</v>
      </c>
    </row>
    <row r="4" spans="1:86" s="1" customFormat="1" ht="25.5" customHeight="1" x14ac:dyDescent="0.25">
      <c r="A4" s="23" t="s">
        <v>316</v>
      </c>
      <c r="B4" s="23">
        <v>2022</v>
      </c>
      <c r="C4" s="24">
        <v>17881783.3870009</v>
      </c>
      <c r="D4" s="24">
        <v>1412.175</v>
      </c>
      <c r="E4" s="24">
        <f>Data_country[[#This Row],[gdp]]/Data_country[[#This Row],[population]]</f>
        <v>12662.583169225414</v>
      </c>
      <c r="F4" s="24">
        <v>11895.528393030199</v>
      </c>
      <c r="G4" s="24">
        <f>Data_country[[#This Row],[co2_total]]/Data_country[[#This Row],[population]]</f>
        <v>8.4235511838335899</v>
      </c>
      <c r="H4" s="24">
        <v>5088.51</v>
      </c>
      <c r="I4" s="24">
        <f>Data_country[[#This Row],[co2_power_fossil]]/Data_country[[#This Row],[co2_total]]*100</f>
        <v>42.776662220246124</v>
      </c>
      <c r="J4" s="25">
        <f>Data_country[[#This Row],[co2_power_fossil]]/H31*100</f>
        <v>37.222695668394238</v>
      </c>
      <c r="K4" s="25">
        <v>29.3</v>
      </c>
      <c r="L4" s="24">
        <v>160.25873549468815</v>
      </c>
      <c r="M4" s="24">
        <v>29.514211654663086</v>
      </c>
      <c r="N4" s="24">
        <v>13.595310211181641</v>
      </c>
      <c r="O4" s="24">
        <v>87.832008361816406</v>
      </c>
      <c r="P4" s="24">
        <v>3.762721061706543</v>
      </c>
      <c r="Q4" s="24">
        <v>12.183764457702637</v>
      </c>
      <c r="R4" s="24">
        <v>13.370719747617841</v>
      </c>
      <c r="S4" s="24">
        <f t="shared" ref="S4:S32" si="0">M4/L4*100</f>
        <v>18.416600857081733</v>
      </c>
      <c r="T4" s="24">
        <f t="shared" ref="T4:T32" si="1">N4/L4*100</f>
        <v>8.4833504827150374</v>
      </c>
      <c r="U4" s="24">
        <f t="shared" ref="U4:U32" si="2">O4/L4*100</f>
        <v>54.806378005352251</v>
      </c>
      <c r="V4" s="24">
        <f t="shared" ref="V4:V32" si="3">P4/L4*100</f>
        <v>2.3479038756244646</v>
      </c>
      <c r="W4" s="24">
        <f t="shared" ref="W4:W32" si="4">Q4/L4*100</f>
        <v>7.602558712380751</v>
      </c>
      <c r="X4" s="24">
        <f t="shared" ref="X4:X32" si="5">R4/L4*100</f>
        <v>8.3432080668457651</v>
      </c>
      <c r="Y4" s="24">
        <v>7.9862918853759766</v>
      </c>
      <c r="Z4" s="24">
        <v>91.316276550292969</v>
      </c>
      <c r="AA4" s="24">
        <f>(1-Data_country[[#This Row],[pro_gas]]/Data_country[[#This Row],[pricon_gas]])*100</f>
        <v>41.257008767570845</v>
      </c>
      <c r="AB4" s="24">
        <f>(1-Data_country[[#This Row],[pro_coal]]/Data_country[[#This Row],[pricon_coal]])*100</f>
        <v>-3.9669685954617062</v>
      </c>
      <c r="AC4" s="24">
        <f>Data_country[[#This Row],[ic_gas]]+Data_country[[#This Row],[ic_coal]]+Data_country[[#This Row],[ic_other_fossil]]+Data_country[[#This Row],[ic_nuc]]+Data_country[[#This Row],[ic_h2o]]+Data_country[[#This Row],[ic_wind]]+Data_country[[#This Row],[ic_solar]]+Data_country[[#This Row],[ic_bio]]+Data_country[[#This Row],[ic_other_re]]</f>
        <v>2429.14</v>
      </c>
      <c r="AD4" s="24">
        <v>1229.45</v>
      </c>
      <c r="AE4" s="24">
        <v>119.11</v>
      </c>
      <c r="AF4" s="24">
        <v>1096.47</v>
      </c>
      <c r="AG4" s="24">
        <v>13.87</v>
      </c>
      <c r="AH4" s="24">
        <v>55.53</v>
      </c>
      <c r="AI4" s="24">
        <v>1144.1600000000001</v>
      </c>
      <c r="AJ4" s="24">
        <v>367.71</v>
      </c>
      <c r="AK4" s="24">
        <v>365.96</v>
      </c>
      <c r="AL4" s="24">
        <v>393.03</v>
      </c>
      <c r="AM4" s="24">
        <v>17.46</v>
      </c>
      <c r="AN4" s="24">
        <v>0</v>
      </c>
      <c r="AO4" s="25">
        <f>Data_country[[#This Row],[ic_fossil]]/Data_country[[#This Row],[ic_total]]*100</f>
        <v>50.612562470668635</v>
      </c>
      <c r="AP4" s="25">
        <f>Data_country[[#This Row],[ic_gas]]/Data_country[[#This Row],[ic_total]]*100</f>
        <v>4.9033814436384899</v>
      </c>
      <c r="AQ4" s="25">
        <f>Data_country[[#This Row],[ic_coal]]/Data_country[[#This Row],[ic_total]]*100</f>
        <v>45.138197057394805</v>
      </c>
      <c r="AR4" s="25">
        <f>Data_country[[#This Row],[ic_other_fossil]]/Data_country[[#This Row],[ic_total]]*100</f>
        <v>0.57098396963534426</v>
      </c>
      <c r="AS4" s="25">
        <f>Data_country[[#This Row],[ic_nuc]]/Data_country[[#This Row],[ic_total]]*100</f>
        <v>2.2859942201766881</v>
      </c>
      <c r="AT4" s="25">
        <f>Data_country[[#This Row],[ic_re]]/Data_country[[#This Row],[ic_total]]*100</f>
        <v>47.101443309154682</v>
      </c>
      <c r="AU4" s="25">
        <f>Data_country[[#This Row],[ic_h2o]]/Data_country[[#This Row],[ic_total]]*100</f>
        <v>15.137456054406087</v>
      </c>
      <c r="AV4" s="25">
        <f>Data_country[[#This Row],[ic_wind]]/Data_country[[#This Row],[ic_total]]*100</f>
        <v>15.065414097170191</v>
      </c>
      <c r="AW4" s="25">
        <f>Data_country[[#This Row],[ic_solar]]/Data_country[[#This Row],[ic_total]]*100</f>
        <v>16.17980025852771</v>
      </c>
      <c r="AX4" s="25">
        <f>Data_country[[#This Row],[ic_bio]]/Data_country[[#This Row],[ic_total]]*100</f>
        <v>0.71877289905069286</v>
      </c>
      <c r="AY4" s="25">
        <f>Data_country[[#This Row],[ic_other_re]]/Data_country[[#This Row],[ic_total]]*100</f>
        <v>0</v>
      </c>
      <c r="AZ4" s="24">
        <v>8848.7099999999991</v>
      </c>
      <c r="BA4" s="24">
        <v>5760.34</v>
      </c>
      <c r="BB4" s="24">
        <v>275.62</v>
      </c>
      <c r="BC4" s="24">
        <v>5412.68</v>
      </c>
      <c r="BD4" s="24">
        <v>72.040000000000006</v>
      </c>
      <c r="BE4" s="24">
        <v>417.78</v>
      </c>
      <c r="BF4" s="24">
        <v>2670.59</v>
      </c>
      <c r="BG4" s="24">
        <v>1298.1199999999999</v>
      </c>
      <c r="BH4" s="24">
        <v>762.67</v>
      </c>
      <c r="BI4" s="24">
        <v>427.27</v>
      </c>
      <c r="BJ4" s="24">
        <v>182.53</v>
      </c>
      <c r="BK4" s="24">
        <v>0</v>
      </c>
      <c r="BL4" s="25">
        <f>Data_country[[#This Row],[gen_fossil]]/Data_country[[#This Row],[gen_total]]*100</f>
        <v>65.098076442780922</v>
      </c>
      <c r="BM4" s="25">
        <f>Data_country[[#This Row],[gen_gas]]/Data_country[[#This Row],[gen_total]]*100</f>
        <v>3.1148043048082719</v>
      </c>
      <c r="BN4" s="25">
        <f>Data_country[[#This Row],[gen_coal]]/Data_country[[#This Row],[gen_total]]*100</f>
        <v>61.169142168745502</v>
      </c>
      <c r="BO4" s="25">
        <f>Data_country[[#This Row],[gen_other_fossil]]/Data_country[[#This Row],[gen_total]]*100</f>
        <v>0.81412996922715308</v>
      </c>
      <c r="BP4" s="25">
        <f>Data_country[[#This Row],[gen_nuc]]/Data_country[[#This Row],[gen_total]]*100</f>
        <v>4.7213661652376446</v>
      </c>
      <c r="BQ4" s="25">
        <f>Data_country[[#This Row],[gen_re]]/Data_country[[#This Row],[gen_total]]*100</f>
        <v>30.180557391981434</v>
      </c>
      <c r="BR4" s="25">
        <f>Data_country[[#This Row],[gen_h2o]]/Data_country[[#This Row],[gen_total]]*100</f>
        <v>14.670160961315265</v>
      </c>
      <c r="BS4" s="25">
        <f>Data_country[[#This Row],[gen_wind]]/Data_country[[#This Row],[gen_total]]*100</f>
        <v>8.6189964412891822</v>
      </c>
      <c r="BT4" s="25">
        <f>Data_country[[#This Row],[gen_solar]]/Data_country[[#This Row],[gen_total]]*100</f>
        <v>4.828613436308796</v>
      </c>
      <c r="BU4" s="25">
        <f>Data_country[[#This Row],[gen_bio]]/Data_country[[#This Row],[gen_total]]*100</f>
        <v>2.0627865530681877</v>
      </c>
      <c r="BV4" s="25">
        <f>Data_country[[#This Row],[gen_other_re]]/Data_country[[#This Row],[gen_total]]*100</f>
        <v>0</v>
      </c>
    </row>
    <row r="5" spans="1:86" s="1" customFormat="1" ht="25.5" customHeight="1" x14ac:dyDescent="0.25">
      <c r="A5" s="23" t="s">
        <v>316</v>
      </c>
      <c r="B5" s="23">
        <v>2023</v>
      </c>
      <c r="C5" s="24">
        <v>17794781.9861045</v>
      </c>
      <c r="D5" s="24">
        <v>1410.71</v>
      </c>
      <c r="E5" s="24">
        <f>Data_country[[#This Row],[gdp]]/Data_country[[#This Row],[population]]</f>
        <v>12614.060994892288</v>
      </c>
      <c r="F5" s="24">
        <v>12603.514978527999</v>
      </c>
      <c r="G5" s="24">
        <f>Data_country[[#This Row],[co2_total]]/Data_country[[#This Row],[population]]</f>
        <v>8.934164341734304</v>
      </c>
      <c r="H5" s="24">
        <v>5404.96</v>
      </c>
      <c r="I5" s="24">
        <f>Data_country[[#This Row],[co2_power_fossil]]/Data_country[[#This Row],[co2_total]]*100</f>
        <v>42.884544583064091</v>
      </c>
      <c r="J5" s="25">
        <f>Data_country[[#This Row],[co2_power_fossil]]/H32*100</f>
        <v>39.006872621591562</v>
      </c>
      <c r="K5" s="25">
        <v>29.7</v>
      </c>
      <c r="L5" s="24">
        <v>170.73923157155514</v>
      </c>
      <c r="M5" s="24">
        <v>32.725837707519531</v>
      </c>
      <c r="N5" s="24">
        <v>14.574172019958496</v>
      </c>
      <c r="O5" s="24">
        <v>91.938674926757813</v>
      </c>
      <c r="P5" s="24">
        <v>3.9010648727416992</v>
      </c>
      <c r="Q5" s="24">
        <v>11.464998245239258</v>
      </c>
      <c r="R5" s="24">
        <v>16.134483799338341</v>
      </c>
      <c r="S5" s="24">
        <f t="shared" si="0"/>
        <v>19.167145948999103</v>
      </c>
      <c r="T5" s="24">
        <f t="shared" si="1"/>
        <v>8.5359245709446707</v>
      </c>
      <c r="U5" s="24">
        <f t="shared" si="2"/>
        <v>53.847422224239786</v>
      </c>
      <c r="V5" s="24">
        <f t="shared" si="3"/>
        <v>2.2848087324949691</v>
      </c>
      <c r="W5" s="24">
        <f t="shared" si="4"/>
        <v>6.714917327266047</v>
      </c>
      <c r="X5" s="24">
        <f t="shared" si="5"/>
        <v>9.4497811960554223</v>
      </c>
      <c r="Y5" s="24">
        <v>8.4333009719848633</v>
      </c>
      <c r="Z5" s="24">
        <v>93.098457336425781</v>
      </c>
      <c r="AA5" s="24">
        <f>(1-Data_country[[#This Row],[pro_gas]]/Data_country[[#This Row],[pricon_gas]])*100</f>
        <v>42.135299621577552</v>
      </c>
      <c r="AB5" s="24">
        <f>(1-Data_country[[#This Row],[pro_coal]]/Data_country[[#This Row],[pricon_coal]])*100</f>
        <v>-1.2614739233428152</v>
      </c>
      <c r="AC5" s="24">
        <f>Data_country[[#This Row],[ic_gas]]+Data_country[[#This Row],[ic_coal]]+Data_country[[#This Row],[ic_other_fossil]]+Data_country[[#This Row],[ic_nuc]]+Data_country[[#This Row],[ic_h2o]]+Data_country[[#This Row],[ic_wind]]+Data_country[[#This Row],[ic_solar]]+Data_country[[#This Row],[ic_bio]]+Data_country[[#This Row],[ic_other_re]]</f>
        <v>2783.92</v>
      </c>
      <c r="AD5" s="24">
        <v>1286.23</v>
      </c>
      <c r="AE5" s="24">
        <v>131.15</v>
      </c>
      <c r="AF5" s="24">
        <v>1140.18</v>
      </c>
      <c r="AG5" s="24">
        <v>14.9</v>
      </c>
      <c r="AH5" s="24">
        <v>56.91</v>
      </c>
      <c r="AI5" s="24">
        <v>1440.78</v>
      </c>
      <c r="AJ5" s="24">
        <v>370.6</v>
      </c>
      <c r="AK5" s="24">
        <v>441.89</v>
      </c>
      <c r="AL5" s="24">
        <v>609.91999999999996</v>
      </c>
      <c r="AM5" s="24">
        <v>18.37</v>
      </c>
      <c r="AN5" s="24">
        <v>0</v>
      </c>
      <c r="AO5" s="25">
        <f>Data_country[[#This Row],[ic_fossil]]/Data_country[[#This Row],[ic_total]]*100</f>
        <v>46.202117876950489</v>
      </c>
      <c r="AP5" s="25">
        <f>Data_country[[#This Row],[ic_gas]]/Data_country[[#This Row],[ic_total]]*100</f>
        <v>4.7109830742262711</v>
      </c>
      <c r="AQ5" s="25">
        <f>Data_country[[#This Row],[ic_coal]]/Data_country[[#This Row],[ic_total]]*100</f>
        <v>40.95591827351361</v>
      </c>
      <c r="AR5" s="25">
        <f>Data_country[[#This Row],[ic_other_fossil]]/Data_country[[#This Row],[ic_total]]*100</f>
        <v>0.53521652921060947</v>
      </c>
      <c r="AS5" s="25">
        <f>Data_country[[#This Row],[ic_nuc]]/Data_country[[#This Row],[ic_total]]*100</f>
        <v>2.0442397770050862</v>
      </c>
      <c r="AT5" s="25">
        <f>Data_country[[#This Row],[ic_re]]/Data_country[[#This Row],[ic_total]]*100</f>
        <v>51.75364234604443</v>
      </c>
      <c r="AU5" s="25">
        <f>Data_country[[#This Row],[ic_h2o]]/Data_country[[#This Row],[ic_total]]*100</f>
        <v>13.312164142647779</v>
      </c>
      <c r="AV5" s="25">
        <f>Data_country[[#This Row],[ic_wind]]/Data_country[[#This Row],[ic_total]]*100</f>
        <v>15.872941751199745</v>
      </c>
      <c r="AW5" s="25">
        <f>Data_country[[#This Row],[ic_solar]]/Data_country[[#This Row],[ic_total]]*100</f>
        <v>21.908675536653348</v>
      </c>
      <c r="AX5" s="25">
        <f>Data_country[[#This Row],[ic_bio]]/Data_country[[#This Row],[ic_total]]*100</f>
        <v>0.65986091554355009</v>
      </c>
      <c r="AY5" s="25">
        <f>Data_country[[#This Row],[ic_other_re]]/Data_country[[#This Row],[ic_total]]*100</f>
        <v>0</v>
      </c>
      <c r="AZ5" s="24">
        <v>9456.4500000000007</v>
      </c>
      <c r="BA5" s="24">
        <v>6127.58</v>
      </c>
      <c r="BB5" s="24">
        <v>297.8</v>
      </c>
      <c r="BC5" s="24">
        <v>5753.88</v>
      </c>
      <c r="BD5" s="24">
        <v>75.900000000000006</v>
      </c>
      <c r="BE5" s="24">
        <v>434.72</v>
      </c>
      <c r="BF5" s="24">
        <v>2894.15</v>
      </c>
      <c r="BG5" s="24">
        <v>1226</v>
      </c>
      <c r="BH5" s="24">
        <v>885.87</v>
      </c>
      <c r="BI5" s="24">
        <v>584.15</v>
      </c>
      <c r="BJ5" s="24">
        <v>198.13</v>
      </c>
      <c r="BK5" s="24">
        <v>0</v>
      </c>
      <c r="BL5" s="25">
        <f>Data_country[[#This Row],[gen_fossil]]/Data_country[[#This Row],[gen_total]]*100</f>
        <v>64.797889271343891</v>
      </c>
      <c r="BM5" s="25">
        <f>Data_country[[#This Row],[gen_gas]]/Data_country[[#This Row],[gen_total]]*100</f>
        <v>3.1491733155676811</v>
      </c>
      <c r="BN5" s="25">
        <f>Data_country[[#This Row],[gen_coal]]/Data_country[[#This Row],[gen_total]]*100</f>
        <v>60.846089177228237</v>
      </c>
      <c r="BO5" s="25">
        <f>Data_country[[#This Row],[gen_other_fossil]]/Data_country[[#This Row],[gen_total]]*100</f>
        <v>0.80262677854797526</v>
      </c>
      <c r="BP5" s="25">
        <f>Data_country[[#This Row],[gen_nuc]]/Data_country[[#This Row],[gen_total]]*100</f>
        <v>4.5970739548139097</v>
      </c>
      <c r="BQ5" s="25">
        <f>Data_country[[#This Row],[gen_re]]/Data_country[[#This Row],[gen_total]]*100</f>
        <v>30.605036773842194</v>
      </c>
      <c r="BR5" s="25">
        <f>Data_country[[#This Row],[gen_h2o]]/Data_country[[#This Row],[gen_total]]*100</f>
        <v>12.964696054016041</v>
      </c>
      <c r="BS5" s="25">
        <f>Data_country[[#This Row],[gen_wind]]/Data_country[[#This Row],[gen_total]]*100</f>
        <v>9.3678917564202191</v>
      </c>
      <c r="BT5" s="25">
        <f>Data_country[[#This Row],[gen_solar]]/Data_country[[#This Row],[gen_total]]*100</f>
        <v>6.1772652528168592</v>
      </c>
      <c r="BU5" s="25">
        <f>Data_country[[#This Row],[gen_bio]]/Data_country[[#This Row],[gen_total]]*100</f>
        <v>2.0951837105890685</v>
      </c>
      <c r="BV5" s="25">
        <f>Data_country[[#This Row],[gen_other_re]]/Data_country[[#This Row],[gen_total]]*100</f>
        <v>0</v>
      </c>
    </row>
    <row r="6" spans="1:86" s="1" customFormat="1" ht="25.5" customHeight="1" x14ac:dyDescent="0.25">
      <c r="A6" s="23" t="s">
        <v>317</v>
      </c>
      <c r="B6" s="23">
        <v>2021</v>
      </c>
      <c r="C6" s="24">
        <v>3167270.6232605199</v>
      </c>
      <c r="D6" s="24">
        <v>1407.563842</v>
      </c>
      <c r="E6" s="24">
        <f>Data_country[[#This Row],[gdp]]/Data_country[[#This Row],[population]]</f>
        <v>2250.1790176423983</v>
      </c>
      <c r="F6" s="24">
        <v>2705.6367173194899</v>
      </c>
      <c r="G6" s="24">
        <f>Data_country[[#This Row],[co2_total]]/Data_country[[#This Row],[population]]</f>
        <v>1.9222124329899417</v>
      </c>
      <c r="H6" s="24">
        <v>1187.51</v>
      </c>
      <c r="I6" s="24">
        <f>Data_country[[#This Row],[co2_power_fossil]]/Data_country[[#This Row],[co2_total]]*100</f>
        <v>43.890223413898738</v>
      </c>
      <c r="J6" s="25">
        <f>Data_country[[#This Row],[co2_power_fossil]]/H30*100</f>
        <v>8.799662095821029</v>
      </c>
      <c r="K6" s="25">
        <v>14.9</v>
      </c>
      <c r="L6" s="24">
        <v>34.506283035967499</v>
      </c>
      <c r="M6" s="24">
        <v>9.3197927474975586</v>
      </c>
      <c r="N6" s="24">
        <v>2.2454173564910889</v>
      </c>
      <c r="O6" s="24">
        <v>19.270051956176758</v>
      </c>
      <c r="P6" s="24">
        <v>0.39699321985244751</v>
      </c>
      <c r="Q6" s="24">
        <v>1.5103895664215088</v>
      </c>
      <c r="R6" s="24">
        <v>1.7636381895281374</v>
      </c>
      <c r="S6" s="24">
        <f t="shared" si="0"/>
        <v>27.008973228971389</v>
      </c>
      <c r="T6" s="24">
        <f t="shared" si="1"/>
        <v>6.5072710211951437</v>
      </c>
      <c r="U6" s="24">
        <f t="shared" si="2"/>
        <v>55.845052728776054</v>
      </c>
      <c r="V6" s="24">
        <f t="shared" si="3"/>
        <v>1.1504954603155693</v>
      </c>
      <c r="W6" s="24">
        <f t="shared" si="4"/>
        <v>4.3771436200391669</v>
      </c>
      <c r="X6" s="24">
        <f t="shared" si="5"/>
        <v>5.1110639407026701</v>
      </c>
      <c r="Y6" s="24">
        <v>1.0273972749710083</v>
      </c>
      <c r="Z6" s="24">
        <v>13.379782676696777</v>
      </c>
      <c r="AA6" s="24">
        <f>(1-Data_country[[#This Row],[pro_gas]]/Data_country[[#This Row],[pricon_gas]])*100</f>
        <v>54.2447076931604</v>
      </c>
      <c r="AB6" s="24">
        <f>(1-Data_country[[#This Row],[pro_coal]]/Data_country[[#This Row],[pricon_coal]])*100</f>
        <v>30.566961069308029</v>
      </c>
      <c r="AC6" s="24">
        <f>Data_country[[#This Row],[ic_gas]]+Data_country[[#This Row],[ic_coal]]+Data_country[[#This Row],[ic_other_fossil]]+Data_country[[#This Row],[ic_nuc]]+Data_country[[#This Row],[ic_h2o]]+Data_country[[#This Row],[ic_wind]]+Data_country[[#This Row],[ic_solar]]+Data_country[[#This Row],[ic_bio]]+Data_country[[#This Row],[ic_other_re]]</f>
        <v>435.77</v>
      </c>
      <c r="AD6" s="24">
        <v>281.82</v>
      </c>
      <c r="AE6" s="24">
        <v>32.29</v>
      </c>
      <c r="AF6" s="24">
        <v>231.14</v>
      </c>
      <c r="AG6" s="24">
        <v>18.39</v>
      </c>
      <c r="AH6" s="24">
        <v>6.78</v>
      </c>
      <c r="AI6" s="24">
        <v>147.16999999999999</v>
      </c>
      <c r="AJ6" s="24">
        <v>46.78</v>
      </c>
      <c r="AK6" s="24">
        <v>40.07</v>
      </c>
      <c r="AL6" s="24">
        <v>49.95</v>
      </c>
      <c r="AM6" s="24">
        <v>10.37</v>
      </c>
      <c r="AN6" s="24">
        <v>0</v>
      </c>
      <c r="AO6" s="25">
        <f>Data_country[[#This Row],[ic_fossil]]/Data_country[[#This Row],[ic_total]]*100</f>
        <v>64.671730500034414</v>
      </c>
      <c r="AP6" s="25">
        <f>Data_country[[#This Row],[ic_gas]]/Data_country[[#This Row],[ic_total]]*100</f>
        <v>7.4098721802785867</v>
      </c>
      <c r="AQ6" s="25">
        <f>Data_country[[#This Row],[ic_coal]]/Data_country[[#This Row],[ic_total]]*100</f>
        <v>53.041742203455954</v>
      </c>
      <c r="AR6" s="25">
        <f>Data_country[[#This Row],[ic_other_fossil]]/Data_country[[#This Row],[ic_total]]*100</f>
        <v>4.2201161162998835</v>
      </c>
      <c r="AS6" s="25">
        <f>Data_country[[#This Row],[ic_nuc]]/Data_country[[#This Row],[ic_total]]*100</f>
        <v>1.5558666268903323</v>
      </c>
      <c r="AT6" s="25">
        <f>Data_country[[#This Row],[ic_re]]/Data_country[[#This Row],[ic_total]]*100</f>
        <v>33.772402873075244</v>
      </c>
      <c r="AU6" s="25">
        <f>Data_country[[#This Row],[ic_h2o]]/Data_country[[#This Row],[ic_total]]*100</f>
        <v>10.735020767836245</v>
      </c>
      <c r="AV6" s="25">
        <f>Data_country[[#This Row],[ic_wind]]/Data_country[[#This Row],[ic_total]]*100</f>
        <v>9.1952176606925669</v>
      </c>
      <c r="AW6" s="25">
        <f>Data_country[[#This Row],[ic_solar]]/Data_country[[#This Row],[ic_total]]*100</f>
        <v>11.46246873350621</v>
      </c>
      <c r="AX6" s="25">
        <f>Data_country[[#This Row],[ic_bio]]/Data_country[[#This Row],[ic_total]]*100</f>
        <v>2.3796957110402275</v>
      </c>
      <c r="AY6" s="25">
        <f>Data_country[[#This Row],[ic_other_re]]/Data_country[[#This Row],[ic_total]]*100</f>
        <v>0</v>
      </c>
      <c r="AZ6" s="24">
        <v>1695.51</v>
      </c>
      <c r="BA6" s="24">
        <v>1319.35</v>
      </c>
      <c r="BB6" s="24">
        <v>60.4</v>
      </c>
      <c r="BC6" s="24">
        <v>1255.56</v>
      </c>
      <c r="BD6" s="24">
        <v>3.39</v>
      </c>
      <c r="BE6" s="24">
        <v>43.92</v>
      </c>
      <c r="BF6" s="24">
        <v>332.24</v>
      </c>
      <c r="BG6" s="24">
        <v>160.34</v>
      </c>
      <c r="BH6" s="24">
        <v>68.09</v>
      </c>
      <c r="BI6" s="24">
        <v>68.31</v>
      </c>
      <c r="BJ6" s="24">
        <v>35.5</v>
      </c>
      <c r="BK6" s="24">
        <v>0</v>
      </c>
      <c r="BL6" s="25">
        <f>Data_country[[#This Row],[gen_fossil]]/Data_country[[#This Row],[gen_total]]*100</f>
        <v>77.814344946358318</v>
      </c>
      <c r="BM6" s="25">
        <f>Data_country[[#This Row],[gen_gas]]/Data_country[[#This Row],[gen_total]]*100</f>
        <v>3.5623499713950375</v>
      </c>
      <c r="BN6" s="25">
        <f>Data_country[[#This Row],[gen_coal]]/Data_country[[#This Row],[gen_total]]*100</f>
        <v>74.052055133853528</v>
      </c>
      <c r="BO6" s="25">
        <f>Data_country[[#This Row],[gen_other_fossil]]/Data_country[[#This Row],[gen_total]]*100</f>
        <v>0.1999398411097546</v>
      </c>
      <c r="BP6" s="25">
        <f>Data_country[[#This Row],[gen_nuc]]/Data_country[[#This Row],[gen_total]]*100</f>
        <v>2.5903710388024845</v>
      </c>
      <c r="BQ6" s="25">
        <f>Data_country[[#This Row],[gen_re]]/Data_country[[#This Row],[gen_total]]*100</f>
        <v>19.595284014839194</v>
      </c>
      <c r="BR6" s="25">
        <f>Data_country[[#This Row],[gen_h2o]]/Data_country[[#This Row],[gen_total]]*100</f>
        <v>9.4567416293622575</v>
      </c>
      <c r="BS6" s="25">
        <f>Data_country[[#This Row],[gen_wind]]/Data_country[[#This Row],[gen_total]]*100</f>
        <v>4.0159008204021216</v>
      </c>
      <c r="BT6" s="25">
        <f>Data_country[[#This Row],[gen_solar]]/Data_country[[#This Row],[gen_total]]*100</f>
        <v>4.0288762673177985</v>
      </c>
      <c r="BU6" s="25">
        <f>Data_country[[#This Row],[gen_bio]]/Data_country[[#This Row],[gen_total]]*100</f>
        <v>2.0937652977570171</v>
      </c>
      <c r="BV6" s="25">
        <f>Data_country[[#This Row],[gen_other_re]]/Data_country[[#This Row],[gen_total]]*100</f>
        <v>0</v>
      </c>
    </row>
    <row r="7" spans="1:86" s="1" customFormat="1" ht="25.5" customHeight="1" x14ac:dyDescent="0.25">
      <c r="A7" s="23" t="s">
        <v>317</v>
      </c>
      <c r="B7" s="23">
        <v>2022</v>
      </c>
      <c r="C7" s="24">
        <v>3353470.4968859502</v>
      </c>
      <c r="D7" s="24">
        <v>1417.1731729999999</v>
      </c>
      <c r="E7" s="24">
        <f>Data_country[[#This Row],[gdp]]/Data_country[[#This Row],[population]]</f>
        <v>2366.3096089993164</v>
      </c>
      <c r="F7" s="24">
        <v>2865.0006287097899</v>
      </c>
      <c r="G7" s="24">
        <f>Data_country[[#This Row],[co2_total]]/Data_country[[#This Row],[population]]</f>
        <v>2.0216305835404</v>
      </c>
      <c r="H7" s="24">
        <v>1267.23</v>
      </c>
      <c r="I7" s="24">
        <f>Data_country[[#This Row],[co2_power_fossil]]/Data_country[[#This Row],[co2_total]]*100</f>
        <v>44.231403906207099</v>
      </c>
      <c r="J7" s="25">
        <f>Data_country[[#This Row],[co2_power_fossil]]/H31*100</f>
        <v>9.2698484687775462</v>
      </c>
      <c r="K7" s="25">
        <v>15.2</v>
      </c>
      <c r="L7" s="24">
        <v>36.371458900626749</v>
      </c>
      <c r="M7" s="24">
        <v>10.096308708190918</v>
      </c>
      <c r="N7" s="24">
        <v>2.0970306396484375</v>
      </c>
      <c r="O7" s="24">
        <v>20.025568008422852</v>
      </c>
      <c r="P7" s="24">
        <v>0.41605079174041748</v>
      </c>
      <c r="Q7" s="24">
        <v>1.641889214515686</v>
      </c>
      <c r="R7" s="24">
        <v>2.0946115381084383</v>
      </c>
      <c r="S7" s="24">
        <f t="shared" si="0"/>
        <v>27.758877464266192</v>
      </c>
      <c r="T7" s="24">
        <f t="shared" si="1"/>
        <v>5.7655939658013047</v>
      </c>
      <c r="U7" s="24">
        <f t="shared" si="2"/>
        <v>55.058467858372794</v>
      </c>
      <c r="V7" s="24">
        <f t="shared" si="3"/>
        <v>1.143893603160494</v>
      </c>
      <c r="W7" s="24">
        <f t="shared" si="4"/>
        <v>4.5142242410501527</v>
      </c>
      <c r="X7" s="24">
        <f t="shared" si="5"/>
        <v>5.7589428673490577</v>
      </c>
      <c r="Y7" s="24">
        <v>1.0728694200515747</v>
      </c>
      <c r="Z7" s="24">
        <v>15.048538208007813</v>
      </c>
      <c r="AA7" s="24">
        <f>(1-Data_country[[#This Row],[pro_gas]]/Data_country[[#This Row],[pricon_gas]])*100</f>
        <v>48.838638798742636</v>
      </c>
      <c r="AB7" s="24">
        <f>(1-Data_country[[#This Row],[pro_coal]]/Data_country[[#This Row],[pricon_coal]])*100</f>
        <v>24.853376435173658</v>
      </c>
      <c r="AC7" s="24">
        <f>Data_country[[#This Row],[ic_gas]]+Data_country[[#This Row],[ic_coal]]+Data_country[[#This Row],[ic_other_fossil]]+Data_country[[#This Row],[ic_nuc]]+Data_country[[#This Row],[ic_h2o]]+Data_country[[#This Row],[ic_wind]]+Data_country[[#This Row],[ic_solar]]+Data_country[[#This Row],[ic_bio]]+Data_country[[#This Row],[ic_other_re]]</f>
        <v>452.66999999999996</v>
      </c>
      <c r="AD7" s="24">
        <v>282.94</v>
      </c>
      <c r="AE7" s="24">
        <v>32.22</v>
      </c>
      <c r="AF7" s="24">
        <v>232.17</v>
      </c>
      <c r="AG7" s="24">
        <v>18.55</v>
      </c>
      <c r="AH7" s="24">
        <v>6.78</v>
      </c>
      <c r="AI7" s="24">
        <v>162.94999999999999</v>
      </c>
      <c r="AJ7" s="24">
        <v>47.22</v>
      </c>
      <c r="AK7" s="24">
        <v>41.93</v>
      </c>
      <c r="AL7" s="24">
        <v>63.39</v>
      </c>
      <c r="AM7" s="24">
        <v>10.41</v>
      </c>
      <c r="AN7" s="24">
        <v>0</v>
      </c>
      <c r="AO7" s="25">
        <f>Data_country[[#This Row],[ic_fossil]]/Data_country[[#This Row],[ic_total]]*100</f>
        <v>62.504694368966362</v>
      </c>
      <c r="AP7" s="25">
        <f>Data_country[[#This Row],[ic_gas]]/Data_country[[#This Row],[ic_total]]*100</f>
        <v>7.117767910398304</v>
      </c>
      <c r="AQ7" s="25">
        <f>Data_country[[#This Row],[ic_coal]]/Data_country[[#This Row],[ic_total]]*100</f>
        <v>51.289018490290935</v>
      </c>
      <c r="AR7" s="25">
        <f>Data_country[[#This Row],[ic_other_fossil]]/Data_country[[#This Row],[ic_total]]*100</f>
        <v>4.097907968277112</v>
      </c>
      <c r="AS7" s="25">
        <f>Data_country[[#This Row],[ic_nuc]]/Data_country[[#This Row],[ic_total]]*100</f>
        <v>1.4977798396182651</v>
      </c>
      <c r="AT7" s="25">
        <f>Data_country[[#This Row],[ic_re]]/Data_country[[#This Row],[ic_total]]*100</f>
        <v>35.997525791415377</v>
      </c>
      <c r="AU7" s="25">
        <f>Data_country[[#This Row],[ic_h2o]]/Data_country[[#This Row],[ic_total]]*100</f>
        <v>10.431440121943139</v>
      </c>
      <c r="AV7" s="25">
        <f>Data_country[[#This Row],[ic_wind]]/Data_country[[#This Row],[ic_total]]*100</f>
        <v>9.2628183886716613</v>
      </c>
      <c r="AW7" s="25">
        <f>Data_country[[#This Row],[ic_solar]]/Data_country[[#This Row],[ic_total]]*100</f>
        <v>14.00357876598847</v>
      </c>
      <c r="AX7" s="25">
        <f>Data_country[[#This Row],[ic_bio]]/Data_country[[#This Row],[ic_total]]*100</f>
        <v>2.2996885148121149</v>
      </c>
      <c r="AY7" s="25">
        <f>Data_country[[#This Row],[ic_other_re]]/Data_country[[#This Row],[ic_total]]*100</f>
        <v>0</v>
      </c>
      <c r="AZ7" s="24">
        <v>1829.3</v>
      </c>
      <c r="BA7" s="24">
        <v>1404.39</v>
      </c>
      <c r="BB7" s="24">
        <v>46.48</v>
      </c>
      <c r="BC7" s="24">
        <v>1354.23</v>
      </c>
      <c r="BD7" s="24">
        <v>3.68</v>
      </c>
      <c r="BE7" s="24">
        <v>46.19</v>
      </c>
      <c r="BF7" s="24">
        <v>378.72</v>
      </c>
      <c r="BG7" s="24">
        <v>174.94</v>
      </c>
      <c r="BH7" s="24">
        <v>70.05</v>
      </c>
      <c r="BI7" s="24">
        <v>95.16</v>
      </c>
      <c r="BJ7" s="24">
        <v>38.57</v>
      </c>
      <c r="BK7" s="24">
        <v>0</v>
      </c>
      <c r="BL7" s="25">
        <f>Data_country[[#This Row],[gen_fossil]]/Data_country[[#This Row],[gen_total]]*100</f>
        <v>76.771989285519055</v>
      </c>
      <c r="BM7" s="25">
        <f>Data_country[[#This Row],[gen_gas]]/Data_country[[#This Row],[gen_total]]*100</f>
        <v>2.5408626250478323</v>
      </c>
      <c r="BN7" s="25">
        <f>Data_country[[#This Row],[gen_coal]]/Data_country[[#This Row],[gen_total]]*100</f>
        <v>74.029956814081885</v>
      </c>
      <c r="BO7" s="25">
        <f>Data_country[[#This Row],[gen_other_fossil]]/Data_country[[#This Row],[gen_total]]*100</f>
        <v>0.20116984638932928</v>
      </c>
      <c r="BP7" s="25">
        <f>Data_country[[#This Row],[gen_nuc]]/Data_country[[#This Row],[gen_total]]*100</f>
        <v>2.5250095665008474</v>
      </c>
      <c r="BQ7" s="25">
        <f>Data_country[[#This Row],[gen_re]]/Data_country[[#This Row],[gen_total]]*100</f>
        <v>20.703001147980103</v>
      </c>
      <c r="BR7" s="25">
        <f>Data_country[[#This Row],[gen_h2o]]/Data_country[[#This Row],[gen_total]]*100</f>
        <v>9.5632209041709952</v>
      </c>
      <c r="BS7" s="25">
        <f>Data_country[[#This Row],[gen_wind]]/Data_country[[#This Row],[gen_total]]*100</f>
        <v>3.829333624883835</v>
      </c>
      <c r="BT7" s="25">
        <f>Data_country[[#This Row],[gen_solar]]/Data_country[[#This Row],[gen_total]]*100</f>
        <v>5.2019898321762428</v>
      </c>
      <c r="BU7" s="25">
        <f>Data_country[[#This Row],[gen_bio]]/Data_country[[#This Row],[gen_total]]*100</f>
        <v>2.1084567867490298</v>
      </c>
      <c r="BV7" s="25">
        <f>Data_country[[#This Row],[gen_other_re]]/Data_country[[#This Row],[gen_total]]*100</f>
        <v>0</v>
      </c>
    </row>
    <row r="8" spans="1:86" s="1" customFormat="1" ht="25.5" customHeight="1" x14ac:dyDescent="0.25">
      <c r="A8" s="23" t="s">
        <v>317</v>
      </c>
      <c r="B8" s="23">
        <v>2023</v>
      </c>
      <c r="C8" s="24">
        <v>3549918.9187775301</v>
      </c>
      <c r="D8" s="24">
        <v>1428.627663</v>
      </c>
      <c r="E8" s="24">
        <f>Data_country[[#This Row],[gdp]]/Data_country[[#This Row],[population]]</f>
        <v>2484.8454294403023</v>
      </c>
      <c r="F8" s="24">
        <v>3121.5473438501399</v>
      </c>
      <c r="G8" s="24">
        <f>Data_country[[#This Row],[co2_total]]/Data_country[[#This Row],[population]]</f>
        <v>2.1849971302495632</v>
      </c>
      <c r="H8" s="24">
        <v>1377.66</v>
      </c>
      <c r="I8" s="24">
        <f>Data_country[[#This Row],[co2_power_fossil]]/Data_country[[#This Row],[co2_total]]*100</f>
        <v>44.133881317359226</v>
      </c>
      <c r="J8" s="25">
        <f>Data_country[[#This Row],[co2_power_fossil]]/H32*100</f>
        <v>9.9423877578856903</v>
      </c>
      <c r="K8" s="25">
        <v>15.2</v>
      </c>
      <c r="L8" s="24">
        <v>39.016281708143651</v>
      </c>
      <c r="M8" s="24">
        <v>10.573107719421387</v>
      </c>
      <c r="N8" s="24">
        <v>2.2539710998535156</v>
      </c>
      <c r="O8" s="24">
        <v>21.981246948242188</v>
      </c>
      <c r="P8" s="24">
        <v>0.43257409334182739</v>
      </c>
      <c r="Q8" s="24">
        <v>1.3949500322341919</v>
      </c>
      <c r="R8" s="24">
        <v>2.3804318150505424</v>
      </c>
      <c r="S8" s="24">
        <f t="shared" si="0"/>
        <v>27.099219240091045</v>
      </c>
      <c r="T8" s="24">
        <f t="shared" si="1"/>
        <v>5.7770012958027648</v>
      </c>
      <c r="U8" s="24">
        <f t="shared" si="2"/>
        <v>56.338651419092464</v>
      </c>
      <c r="V8" s="24">
        <f t="shared" si="3"/>
        <v>1.1087014815446614</v>
      </c>
      <c r="W8" s="24">
        <f t="shared" si="4"/>
        <v>3.5753023383133709</v>
      </c>
      <c r="X8" s="24">
        <f t="shared" si="5"/>
        <v>6.1011242251556945</v>
      </c>
      <c r="Y8" s="24">
        <v>1.1370775699615479</v>
      </c>
      <c r="Z8" s="24">
        <v>16.749780654907227</v>
      </c>
      <c r="AA8" s="24">
        <f>(1-Data_country[[#This Row],[pro_gas]]/Data_country[[#This Row],[pricon_gas]])*100</f>
        <v>49.552256014487241</v>
      </c>
      <c r="AB8" s="24">
        <f>(1-Data_country[[#This Row],[pro_coal]]/Data_country[[#This Row],[pricon_coal]])*100</f>
        <v>23.79967936147187</v>
      </c>
      <c r="AC8" s="24">
        <f>Data_country[[#This Row],[ic_gas]]+Data_country[[#This Row],[ic_coal]]+Data_country[[#This Row],[ic_other_fossil]]+Data_country[[#This Row],[ic_nuc]]+Data_country[[#This Row],[ic_h2o]]+Data_country[[#This Row],[ic_wind]]+Data_country[[#This Row],[ic_solar]]+Data_country[[#This Row],[ic_bio]]+Data_country[[#This Row],[ic_other_re]]</f>
        <v>471.78</v>
      </c>
      <c r="AD8" s="24">
        <v>288.66000000000003</v>
      </c>
      <c r="AE8" s="24">
        <v>32.44</v>
      </c>
      <c r="AF8" s="24">
        <v>237.64</v>
      </c>
      <c r="AG8" s="24">
        <v>18.579999999999998</v>
      </c>
      <c r="AH8" s="24">
        <v>7.48</v>
      </c>
      <c r="AI8" s="24">
        <v>175.64</v>
      </c>
      <c r="AJ8" s="24">
        <v>47.33</v>
      </c>
      <c r="AK8" s="24">
        <v>44.74</v>
      </c>
      <c r="AL8" s="24">
        <v>73.11</v>
      </c>
      <c r="AM8" s="24">
        <v>10.46</v>
      </c>
      <c r="AN8" s="24">
        <v>0</v>
      </c>
      <c r="AO8" s="25">
        <f>Data_country[[#This Row],[ic_fossil]]/Data_country[[#This Row],[ic_total]]*100</f>
        <v>61.185298232226891</v>
      </c>
      <c r="AP8" s="25">
        <f>Data_country[[#This Row],[ic_gas]]/Data_country[[#This Row],[ic_total]]*100</f>
        <v>6.876086311416338</v>
      </c>
      <c r="AQ8" s="25">
        <f>Data_country[[#This Row],[ic_coal]]/Data_country[[#This Row],[ic_total]]*100</f>
        <v>50.370935605578872</v>
      </c>
      <c r="AR8" s="25">
        <f>Data_country[[#This Row],[ic_other_fossil]]/Data_country[[#This Row],[ic_total]]*100</f>
        <v>3.9382763152316755</v>
      </c>
      <c r="AS8" s="25">
        <f>Data_country[[#This Row],[ic_nuc]]/Data_country[[#This Row],[ic_total]]*100</f>
        <v>1.5854847598456911</v>
      </c>
      <c r="AT8" s="25">
        <f>Data_country[[#This Row],[ic_re]]/Data_country[[#This Row],[ic_total]]*100</f>
        <v>37.229217007927424</v>
      </c>
      <c r="AU8" s="25">
        <f>Data_country[[#This Row],[ic_h2o]]/Data_country[[#This Row],[ic_total]]*100</f>
        <v>10.032218406884565</v>
      </c>
      <c r="AV8" s="25">
        <f>Data_country[[#This Row],[ic_wind]]/Data_country[[#This Row],[ic_total]]*100</f>
        <v>9.4832337106278359</v>
      </c>
      <c r="AW8" s="25">
        <f>Data_country[[#This Row],[ic_solar]]/Data_country[[#This Row],[ic_total]]*100</f>
        <v>15.496629785069313</v>
      </c>
      <c r="AX8" s="25">
        <f>Data_country[[#This Row],[ic_bio]]/Data_country[[#This Row],[ic_total]]*100</f>
        <v>2.2171351053457125</v>
      </c>
      <c r="AY8" s="25">
        <f>Data_country[[#This Row],[ic_other_re]]/Data_country[[#This Row],[ic_total]]*100</f>
        <v>0</v>
      </c>
      <c r="AZ8" s="24">
        <v>1958.24</v>
      </c>
      <c r="BA8" s="24">
        <v>1528.07</v>
      </c>
      <c r="BB8" s="24">
        <v>52.61</v>
      </c>
      <c r="BC8" s="24">
        <v>1471.28</v>
      </c>
      <c r="BD8" s="24">
        <v>4.18</v>
      </c>
      <c r="BE8" s="24">
        <v>48.2</v>
      </c>
      <c r="BF8" s="24">
        <v>381.97</v>
      </c>
      <c r="BG8" s="24">
        <v>149.16999999999999</v>
      </c>
      <c r="BH8" s="24">
        <v>82.11</v>
      </c>
      <c r="BI8" s="24">
        <v>113.41</v>
      </c>
      <c r="BJ8" s="24">
        <v>37.28</v>
      </c>
      <c r="BK8" s="24">
        <v>0</v>
      </c>
      <c r="BL8" s="25">
        <f>Data_country[[#This Row],[gen_fossil]]/Data_country[[#This Row],[gen_total]]*100</f>
        <v>78.032825394231551</v>
      </c>
      <c r="BM8" s="25">
        <f>Data_country[[#This Row],[gen_gas]]/Data_country[[#This Row],[gen_total]]*100</f>
        <v>2.6865961271345697</v>
      </c>
      <c r="BN8" s="25">
        <f>Data_country[[#This Row],[gen_coal]]/Data_country[[#This Row],[gen_total]]*100</f>
        <v>75.132772285317429</v>
      </c>
      <c r="BO8" s="25">
        <f>Data_country[[#This Row],[gen_other_fossil]]/Data_country[[#This Row],[gen_total]]*100</f>
        <v>0.21345698177955716</v>
      </c>
      <c r="BP8" s="25">
        <f>Data_country[[#This Row],[gen_nuc]]/Data_country[[#This Row],[gen_total]]*100</f>
        <v>2.4613939047307789</v>
      </c>
      <c r="BQ8" s="25">
        <f>Data_country[[#This Row],[gen_re]]/Data_country[[#This Row],[gen_total]]*100</f>
        <v>19.505780701037668</v>
      </c>
      <c r="BR8" s="25">
        <f>Data_country[[#This Row],[gen_h2o]]/Data_country[[#This Row],[gen_total]]*100</f>
        <v>7.6175545387695065</v>
      </c>
      <c r="BS8" s="25">
        <f>Data_country[[#This Row],[gen_wind]]/Data_country[[#This Row],[gen_total]]*100</f>
        <v>4.1930509028515406</v>
      </c>
      <c r="BT8" s="25">
        <f>Data_country[[#This Row],[gen_solar]]/Data_country[[#This Row],[gen_total]]*100</f>
        <v>5.7914249530190371</v>
      </c>
      <c r="BU8" s="25">
        <f>Data_country[[#This Row],[gen_bio]]/Data_country[[#This Row],[gen_total]]*100</f>
        <v>1.9037503063975816</v>
      </c>
      <c r="BV8" s="25">
        <f>Data_country[[#This Row],[gen_other_re]]/Data_country[[#This Row],[gen_total]]*100</f>
        <v>0</v>
      </c>
    </row>
    <row r="9" spans="1:86" s="1" customFormat="1" ht="25.5" customHeight="1" x14ac:dyDescent="0.25">
      <c r="A9" s="23" t="s">
        <v>318</v>
      </c>
      <c r="B9" s="23">
        <v>2021</v>
      </c>
      <c r="C9" s="24">
        <v>1186509.69108673</v>
      </c>
      <c r="D9" s="24">
        <v>273.75319100000002</v>
      </c>
      <c r="E9" s="24">
        <f>Data_country[[#This Row],[gdp]]/Data_country[[#This Row],[population]]</f>
        <v>4334.2314540791231</v>
      </c>
      <c r="F9" s="24">
        <v>666.37815924803704</v>
      </c>
      <c r="G9" s="24">
        <f>Data_country[[#This Row],[co2_total]]/Data_country[[#This Row],[population]]</f>
        <v>2.4342297410810345</v>
      </c>
      <c r="H9" s="24">
        <v>207.23</v>
      </c>
      <c r="I9" s="24">
        <f>Data_country[[#This Row],[co2_power_fossil]]/Data_country[[#This Row],[co2_total]]*100</f>
        <v>31.097957987375384</v>
      </c>
      <c r="J9" s="25">
        <f>Data_country[[#This Row],[co2_power_fossil]]/H30*100</f>
        <v>1.5356114694756184</v>
      </c>
      <c r="K9" s="25">
        <v>15.1</v>
      </c>
      <c r="L9" s="24">
        <v>7.9705920070409775</v>
      </c>
      <c r="M9" s="24">
        <v>2.8170039653778076</v>
      </c>
      <c r="N9" s="24">
        <v>1.5456380844116211</v>
      </c>
      <c r="O9" s="24">
        <v>2.7476265430450439</v>
      </c>
      <c r="P9" s="24">
        <v>0</v>
      </c>
      <c r="Q9" s="24">
        <v>0.23264665901660919</v>
      </c>
      <c r="R9" s="24">
        <v>0.62767675518989563</v>
      </c>
      <c r="S9" s="24">
        <f t="shared" si="0"/>
        <v>35.34246845013962</v>
      </c>
      <c r="T9" s="24">
        <f t="shared" si="1"/>
        <v>19.391760148383604</v>
      </c>
      <c r="U9" s="24">
        <f t="shared" si="2"/>
        <v>34.472051017262892</v>
      </c>
      <c r="V9" s="24">
        <f t="shared" si="3"/>
        <v>0</v>
      </c>
      <c r="W9" s="24">
        <f t="shared" si="4"/>
        <v>2.9188127909582655</v>
      </c>
      <c r="X9" s="24">
        <f t="shared" si="5"/>
        <v>7.8749075932556227</v>
      </c>
      <c r="Y9" s="24">
        <v>2.318650484085083</v>
      </c>
      <c r="Z9" s="24">
        <v>12.680196762084961</v>
      </c>
      <c r="AA9" s="24">
        <f>(1-Data_country[[#This Row],[pro_gas]]/Data_country[[#This Row],[pricon_gas]])*100</f>
        <v>-50.012509879874315</v>
      </c>
      <c r="AB9" s="24">
        <f>(1-Data_country[[#This Row],[pro_coal]]/Data_country[[#This Row],[pricon_coal]])*100</f>
        <v>-361.49637017380803</v>
      </c>
      <c r="AC9" s="24">
        <f>Data_country[[#This Row],[ic_gas]]+Data_country[[#This Row],[ic_coal]]+Data_country[[#This Row],[ic_other_fossil]]+Data_country[[#This Row],[ic_nuc]]+Data_country[[#This Row],[ic_h2o]]+Data_country[[#This Row],[ic_wind]]+Data_country[[#This Row],[ic_solar]]+Data_country[[#This Row],[ic_bio]]+Data_country[[#This Row],[ic_other_re]]</f>
        <v>79.12</v>
      </c>
      <c r="AD9" s="24">
        <v>67.58</v>
      </c>
      <c r="AE9" s="24">
        <v>19.86</v>
      </c>
      <c r="AF9" s="24">
        <v>39.5</v>
      </c>
      <c r="AG9" s="24">
        <v>8.2200000000000006</v>
      </c>
      <c r="AH9" s="24">
        <v>0</v>
      </c>
      <c r="AI9" s="24">
        <v>11.54</v>
      </c>
      <c r="AJ9" s="24">
        <v>6.6</v>
      </c>
      <c r="AK9" s="24">
        <v>0.15</v>
      </c>
      <c r="AL9" s="24">
        <v>0.23</v>
      </c>
      <c r="AM9" s="24">
        <v>2.2599999999999998</v>
      </c>
      <c r="AN9" s="24">
        <v>2.2999999999999998</v>
      </c>
      <c r="AO9" s="25">
        <f>Data_country[[#This Row],[ic_fossil]]/Data_country[[#This Row],[ic_total]]*100</f>
        <v>85.414560161779576</v>
      </c>
      <c r="AP9" s="25">
        <f>Data_country[[#This Row],[ic_gas]]/Data_country[[#This Row],[ic_total]]*100</f>
        <v>25.101112234580381</v>
      </c>
      <c r="AQ9" s="25">
        <f>Data_country[[#This Row],[ic_coal]]/Data_country[[#This Row],[ic_total]]*100</f>
        <v>49.924165824064708</v>
      </c>
      <c r="AR9" s="25">
        <f>Data_country[[#This Row],[ic_other_fossil]]/Data_country[[#This Row],[ic_total]]*100</f>
        <v>10.38928210313448</v>
      </c>
      <c r="AS9" s="25">
        <f>Data_country[[#This Row],[ic_nuc]]/Data_country[[#This Row],[ic_total]]*100</f>
        <v>0</v>
      </c>
      <c r="AT9" s="25">
        <f>Data_country[[#This Row],[ic_re]]/Data_country[[#This Row],[ic_total]]*100</f>
        <v>14.585439838220424</v>
      </c>
      <c r="AU9" s="25">
        <f>Data_country[[#This Row],[ic_h2o]]/Data_country[[#This Row],[ic_total]]*100</f>
        <v>8.3417593528816969</v>
      </c>
      <c r="AV9" s="25">
        <f>Data_country[[#This Row],[ic_wind]]/Data_country[[#This Row],[ic_total]]*100</f>
        <v>0.1895854398382204</v>
      </c>
      <c r="AW9" s="25">
        <f>Data_country[[#This Row],[ic_solar]]/Data_country[[#This Row],[ic_total]]*100</f>
        <v>0.29069767441860467</v>
      </c>
      <c r="AX9" s="25">
        <f>Data_country[[#This Row],[ic_bio]]/Data_country[[#This Row],[ic_total]]*100</f>
        <v>2.8564206268958543</v>
      </c>
      <c r="AY9" s="25">
        <f>Data_country[[#This Row],[ic_other_re]]/Data_country[[#This Row],[ic_total]]*100</f>
        <v>2.9069767441860463</v>
      </c>
      <c r="AZ9" s="24">
        <v>309.36</v>
      </c>
      <c r="BA9" s="24">
        <v>253.16</v>
      </c>
      <c r="BB9" s="24">
        <v>56.53</v>
      </c>
      <c r="BC9" s="24">
        <v>189.96</v>
      </c>
      <c r="BD9" s="24">
        <v>6.67</v>
      </c>
      <c r="BE9" s="24">
        <v>0</v>
      </c>
      <c r="BF9" s="24">
        <v>56.2</v>
      </c>
      <c r="BG9" s="24">
        <v>24.7</v>
      </c>
      <c r="BH9" s="24">
        <v>0.44</v>
      </c>
      <c r="BI9" s="24">
        <v>0.19</v>
      </c>
      <c r="BJ9" s="24">
        <v>14.96</v>
      </c>
      <c r="BK9" s="24">
        <v>15.91</v>
      </c>
      <c r="BL9" s="25">
        <f>Data_country[[#This Row],[gen_fossil]]/Data_country[[#This Row],[gen_total]]*100</f>
        <v>81.833462632531678</v>
      </c>
      <c r="BM9" s="25">
        <f>Data_country[[#This Row],[gen_gas]]/Data_country[[#This Row],[gen_total]]*100</f>
        <v>18.273209206102923</v>
      </c>
      <c r="BN9" s="25">
        <f>Data_country[[#This Row],[gen_coal]]/Data_country[[#This Row],[gen_total]]*100</f>
        <v>61.404189294026381</v>
      </c>
      <c r="BO9" s="25">
        <f>Data_country[[#This Row],[gen_other_fossil]]/Data_country[[#This Row],[gen_total]]*100</f>
        <v>2.156064132402379</v>
      </c>
      <c r="BP9" s="25">
        <f>Data_country[[#This Row],[gen_nuc]]/Data_country[[#This Row],[gen_total]]*100</f>
        <v>0</v>
      </c>
      <c r="BQ9" s="25">
        <f>Data_country[[#This Row],[gen_re]]/Data_country[[#This Row],[gen_total]]*100</f>
        <v>18.166537367468322</v>
      </c>
      <c r="BR9" s="25">
        <f>Data_country[[#This Row],[gen_h2o]]/Data_country[[#This Row],[gen_total]]*100</f>
        <v>7.9842254978019129</v>
      </c>
      <c r="BS9" s="25">
        <f>Data_country[[#This Row],[gen_wind]]/Data_country[[#This Row],[gen_total]]*100</f>
        <v>0.14222911817946729</v>
      </c>
      <c r="BT9" s="25">
        <f>Data_country[[#This Row],[gen_solar]]/Data_country[[#This Row],[gen_total]]*100</f>
        <v>6.1417119213860866E-2</v>
      </c>
      <c r="BU9" s="25">
        <f>Data_country[[#This Row],[gen_bio]]/Data_country[[#This Row],[gen_total]]*100</f>
        <v>4.8357900181018874</v>
      </c>
      <c r="BV9" s="25">
        <f>Data_country[[#This Row],[gen_other_re]]/Data_country[[#This Row],[gen_total]]*100</f>
        <v>5.1428756141711922</v>
      </c>
    </row>
    <row r="10" spans="1:86" s="1" customFormat="1" ht="25.5" customHeight="1" x14ac:dyDescent="0.25">
      <c r="A10" s="23" t="s">
        <v>318</v>
      </c>
      <c r="B10" s="23">
        <v>2022</v>
      </c>
      <c r="C10" s="24">
        <v>1319076.26731016</v>
      </c>
      <c r="D10" s="24">
        <v>275.50133899999997</v>
      </c>
      <c r="E10" s="24">
        <f>Data_country[[#This Row],[gdp]]/Data_country[[#This Row],[population]]</f>
        <v>4787.9123640490188</v>
      </c>
      <c r="F10" s="24">
        <v>852.077890021028</v>
      </c>
      <c r="G10" s="24">
        <f>Data_country[[#This Row],[co2_total]]/Data_country[[#This Row],[population]]</f>
        <v>3.092826674141965</v>
      </c>
      <c r="H10" s="24">
        <v>219.69</v>
      </c>
      <c r="I10" s="24">
        <f>Data_country[[#This Row],[co2_power_fossil]]/Data_country[[#This Row],[co2_total]]*100</f>
        <v>25.782854193597064</v>
      </c>
      <c r="J10" s="25">
        <f>Data_country[[#This Row],[co2_power_fossil]]/H31*100</f>
        <v>1.6070429283600758</v>
      </c>
      <c r="K10" s="25">
        <v>11.8</v>
      </c>
      <c r="L10" s="24">
        <v>10.049119204282761</v>
      </c>
      <c r="M10" s="24">
        <v>3.0891401767730713</v>
      </c>
      <c r="N10" s="24">
        <v>1.5857268571853638</v>
      </c>
      <c r="O10" s="24">
        <v>4.3794384002685547</v>
      </c>
      <c r="P10" s="24">
        <v>0</v>
      </c>
      <c r="Q10" s="24">
        <v>0.25618228316307068</v>
      </c>
      <c r="R10" s="24">
        <v>0.7386314868927002</v>
      </c>
      <c r="S10" s="24">
        <f t="shared" si="0"/>
        <v>30.740407332978332</v>
      </c>
      <c r="T10" s="24">
        <f t="shared" si="1"/>
        <v>15.779759648084923</v>
      </c>
      <c r="U10" s="24">
        <f t="shared" si="2"/>
        <v>43.580320934018914</v>
      </c>
      <c r="V10" s="24">
        <f t="shared" si="3"/>
        <v>0</v>
      </c>
      <c r="W10" s="24">
        <f t="shared" si="4"/>
        <v>2.5493008686163283</v>
      </c>
      <c r="X10" s="24">
        <f t="shared" si="5"/>
        <v>7.3502112163015072</v>
      </c>
      <c r="Y10" s="24">
        <v>2.2623012065887451</v>
      </c>
      <c r="Z10" s="24">
        <v>13.953020095825195</v>
      </c>
      <c r="AA10" s="24">
        <f>(1-Data_country[[#This Row],[pro_gas]]/Data_country[[#This Row],[pricon_gas]])*100</f>
        <v>-42.666512605095704</v>
      </c>
      <c r="AB10" s="24">
        <f>(1-Data_country[[#This Row],[pro_coal]]/Data_country[[#This Row],[pricon_coal]])*100</f>
        <v>-218.60295363372555</v>
      </c>
      <c r="AC10" s="24">
        <f>Data_country[[#This Row],[ic_gas]]+Data_country[[#This Row],[ic_coal]]+Data_country[[#This Row],[ic_other_fossil]]+Data_country[[#This Row],[ic_nuc]]+Data_country[[#This Row],[ic_h2o]]+Data_country[[#This Row],[ic_wind]]+Data_country[[#This Row],[ic_solar]]+Data_country[[#This Row],[ic_bio]]+Data_country[[#This Row],[ic_other_re]]</f>
        <v>86.28</v>
      </c>
      <c r="AD10" s="24">
        <v>73.69</v>
      </c>
      <c r="AE10" s="24">
        <v>20.74</v>
      </c>
      <c r="AF10" s="24">
        <v>45.61</v>
      </c>
      <c r="AG10" s="24">
        <v>7.34</v>
      </c>
      <c r="AH10" s="24">
        <v>0</v>
      </c>
      <c r="AI10" s="24">
        <v>12.59</v>
      </c>
      <c r="AJ10" s="24">
        <v>6.69</v>
      </c>
      <c r="AK10" s="24">
        <v>0.15</v>
      </c>
      <c r="AL10" s="24">
        <v>0.31</v>
      </c>
      <c r="AM10" s="24">
        <v>3.07</v>
      </c>
      <c r="AN10" s="24">
        <v>2.37</v>
      </c>
      <c r="AO10" s="25">
        <f>Data_country[[#This Row],[ic_fossil]]/Data_country[[#This Row],[ic_total]]*100</f>
        <v>85.407974038015752</v>
      </c>
      <c r="AP10" s="25">
        <f>Data_country[[#This Row],[ic_gas]]/Data_country[[#This Row],[ic_total]]*100</f>
        <v>24.038015762633286</v>
      </c>
      <c r="AQ10" s="25">
        <f>Data_country[[#This Row],[ic_coal]]/Data_country[[#This Row],[ic_total]]*100</f>
        <v>52.862772369031063</v>
      </c>
      <c r="AR10" s="25">
        <f>Data_country[[#This Row],[ic_other_fossil]]/Data_country[[#This Row],[ic_total]]*100</f>
        <v>8.5071859063514133</v>
      </c>
      <c r="AS10" s="25">
        <f>Data_country[[#This Row],[ic_nuc]]/Data_country[[#This Row],[ic_total]]*100</f>
        <v>0</v>
      </c>
      <c r="AT10" s="25">
        <f>Data_country[[#This Row],[ic_re]]/Data_country[[#This Row],[ic_total]]*100</f>
        <v>14.592025961984238</v>
      </c>
      <c r="AU10" s="25">
        <f>Data_country[[#This Row],[ic_h2o]]/Data_country[[#This Row],[ic_total]]*100</f>
        <v>7.7538247566063978</v>
      </c>
      <c r="AV10" s="25">
        <f>Data_country[[#This Row],[ic_wind]]/Data_country[[#This Row],[ic_total]]*100</f>
        <v>0.17385257301808066</v>
      </c>
      <c r="AW10" s="25">
        <f>Data_country[[#This Row],[ic_solar]]/Data_country[[#This Row],[ic_total]]*100</f>
        <v>0.35929531757070005</v>
      </c>
      <c r="AX10" s="25">
        <f>Data_country[[#This Row],[ic_bio]]/Data_country[[#This Row],[ic_total]]*100</f>
        <v>3.558182661103384</v>
      </c>
      <c r="AY10" s="25">
        <f>Data_country[[#This Row],[ic_other_re]]/Data_country[[#This Row],[ic_total]]*100</f>
        <v>2.7468706536856744</v>
      </c>
      <c r="AZ10" s="24">
        <v>333.54</v>
      </c>
      <c r="BA10" s="24">
        <v>268.13</v>
      </c>
      <c r="BB10" s="24">
        <v>56.71</v>
      </c>
      <c r="BC10" s="24">
        <v>205.31</v>
      </c>
      <c r="BD10" s="24">
        <v>6.11</v>
      </c>
      <c r="BE10" s="24">
        <v>0</v>
      </c>
      <c r="BF10" s="24">
        <v>65.41</v>
      </c>
      <c r="BG10" s="24">
        <v>27.3</v>
      </c>
      <c r="BH10" s="24">
        <v>0.36</v>
      </c>
      <c r="BI10" s="24">
        <v>0.44</v>
      </c>
      <c r="BJ10" s="24">
        <v>20.62</v>
      </c>
      <c r="BK10" s="24">
        <v>16.690000000000001</v>
      </c>
      <c r="BL10" s="25">
        <f>Data_country[[#This Row],[gen_fossil]]/Data_country[[#This Row],[gen_total]]*100</f>
        <v>80.389158721592608</v>
      </c>
      <c r="BM10" s="25">
        <f>Data_country[[#This Row],[gen_gas]]/Data_country[[#This Row],[gen_total]]*100</f>
        <v>17.002458475745037</v>
      </c>
      <c r="BN10" s="25">
        <f>Data_country[[#This Row],[gen_coal]]/Data_country[[#This Row],[gen_total]]*100</f>
        <v>61.554836001678957</v>
      </c>
      <c r="BO10" s="25">
        <f>Data_country[[#This Row],[gen_other_fossil]]/Data_country[[#This Row],[gen_total]]*100</f>
        <v>1.8318642441686155</v>
      </c>
      <c r="BP10" s="25">
        <f>Data_country[[#This Row],[gen_nuc]]/Data_country[[#This Row],[gen_total]]*100</f>
        <v>0</v>
      </c>
      <c r="BQ10" s="25">
        <f>Data_country[[#This Row],[gen_re]]/Data_country[[#This Row],[gen_total]]*100</f>
        <v>19.610841278407385</v>
      </c>
      <c r="BR10" s="25">
        <f>Data_country[[#This Row],[gen_h2o]]/Data_country[[#This Row],[gen_total]]*100</f>
        <v>8.1849253462853024</v>
      </c>
      <c r="BS10" s="25">
        <f>Data_country[[#This Row],[gen_wind]]/Data_country[[#This Row],[gen_total]]*100</f>
        <v>0.1079330814894765</v>
      </c>
      <c r="BT10" s="25">
        <f>Data_country[[#This Row],[gen_solar]]/Data_country[[#This Row],[gen_total]]*100</f>
        <v>0.13191821070936019</v>
      </c>
      <c r="BU10" s="25">
        <f>Data_country[[#This Row],[gen_bio]]/Data_country[[#This Row],[gen_total]]*100</f>
        <v>6.1821670564250164</v>
      </c>
      <c r="BV10" s="25">
        <f>Data_country[[#This Row],[gen_other_re]]/Data_country[[#This Row],[gen_total]]*100</f>
        <v>5.0038975834982313</v>
      </c>
    </row>
    <row r="11" spans="1:86" s="1" customFormat="1" ht="25.5" customHeight="1" x14ac:dyDescent="0.25">
      <c r="A11" s="23" t="s">
        <v>318</v>
      </c>
      <c r="B11" s="23">
        <v>2023</v>
      </c>
      <c r="C11" s="24">
        <v>1371171.1523311599</v>
      </c>
      <c r="D11" s="24">
        <v>277.53412200000002</v>
      </c>
      <c r="E11" s="24">
        <f>Data_country[[#This Row],[gdp]]/Data_country[[#This Row],[population]]</f>
        <v>4940.5498050115793</v>
      </c>
      <c r="F11" s="24">
        <v>861.45833642920502</v>
      </c>
      <c r="G11" s="24">
        <f>Data_country[[#This Row],[co2_total]]/Data_country[[#This Row],[population]]</f>
        <v>3.1039726943168628</v>
      </c>
      <c r="H11" s="24">
        <v>233.14</v>
      </c>
      <c r="I11" s="24">
        <f>Data_country[[#This Row],[co2_power_fossil]]/Data_country[[#This Row],[co2_total]]*100</f>
        <v>27.063409818097401</v>
      </c>
      <c r="J11" s="25">
        <f>Data_country[[#This Row],[co2_power_fossil]]/H32*100</f>
        <v>1.6825401636640893</v>
      </c>
      <c r="K11" s="25">
        <v>11.6</v>
      </c>
      <c r="L11" s="24">
        <v>10.107839947924276</v>
      </c>
      <c r="M11" s="24">
        <v>3.0962309837341309</v>
      </c>
      <c r="N11" s="24">
        <v>1.6360194683074951</v>
      </c>
      <c r="O11" s="24">
        <v>4.3196625709533691</v>
      </c>
      <c r="P11" s="24">
        <v>0</v>
      </c>
      <c r="Q11" s="24">
        <v>0.22995541989803314</v>
      </c>
      <c r="R11" s="24">
        <v>0.82597150503124794</v>
      </c>
      <c r="S11" s="24">
        <f t="shared" si="0"/>
        <v>30.631974780823139</v>
      </c>
      <c r="T11" s="24">
        <f t="shared" si="1"/>
        <v>16.185648731443006</v>
      </c>
      <c r="U11" s="24">
        <f t="shared" si="2"/>
        <v>42.735763458942046</v>
      </c>
      <c r="V11" s="24">
        <f t="shared" si="3"/>
        <v>0</v>
      </c>
      <c r="W11" s="24">
        <f t="shared" si="4"/>
        <v>2.2750203909318558</v>
      </c>
      <c r="X11" s="24">
        <f t="shared" si="5"/>
        <v>8.1715926378599573</v>
      </c>
      <c r="Y11" s="24">
        <v>2.3135054111480713</v>
      </c>
      <c r="Z11" s="24">
        <v>15.734096527099609</v>
      </c>
      <c r="AA11" s="24">
        <f>(1-Data_country[[#This Row],[pro_gas]]/Data_country[[#This Row],[pricon_gas]])*100</f>
        <v>-41.41062841638756</v>
      </c>
      <c r="AB11" s="24">
        <f>(1-Data_country[[#This Row],[pro_coal]]/Data_country[[#This Row],[pricon_coal]])*100</f>
        <v>-264.24364793908018</v>
      </c>
      <c r="AC11" s="24">
        <f>Data_country[[#This Row],[ic_gas]]+Data_country[[#This Row],[ic_coal]]+Data_country[[#This Row],[ic_other_fossil]]+Data_country[[#This Row],[ic_nuc]]+Data_country[[#This Row],[ic_h2o]]+Data_country[[#This Row],[ic_wind]]+Data_country[[#This Row],[ic_solar]]+Data_country[[#This Row],[ic_bio]]+Data_country[[#This Row],[ic_other_re]]</f>
        <v>92.740000000000009</v>
      </c>
      <c r="AD11" s="24">
        <v>79.64</v>
      </c>
      <c r="AE11" s="24">
        <v>20.74</v>
      </c>
      <c r="AF11" s="24">
        <v>51.56</v>
      </c>
      <c r="AG11" s="24">
        <v>7.34</v>
      </c>
      <c r="AH11" s="24">
        <v>0</v>
      </c>
      <c r="AI11" s="24">
        <v>13.1</v>
      </c>
      <c r="AJ11" s="24">
        <v>6.78</v>
      </c>
      <c r="AK11" s="24">
        <v>0.15</v>
      </c>
      <c r="AL11" s="24">
        <v>0.56999999999999995</v>
      </c>
      <c r="AM11" s="24">
        <v>3.17</v>
      </c>
      <c r="AN11" s="24">
        <v>2.4300000000000002</v>
      </c>
      <c r="AO11" s="25">
        <f>Data_country[[#This Row],[ic_fossil]]/Data_country[[#This Row],[ic_total]]*100</f>
        <v>85.874487815397885</v>
      </c>
      <c r="AP11" s="25">
        <f>Data_country[[#This Row],[ic_gas]]/Data_country[[#This Row],[ic_total]]*100</f>
        <v>22.363597153331892</v>
      </c>
      <c r="AQ11" s="25">
        <f>Data_country[[#This Row],[ic_coal]]/Data_country[[#This Row],[ic_total]]*100</f>
        <v>55.596290705197326</v>
      </c>
      <c r="AR11" s="25">
        <f>Data_country[[#This Row],[ic_other_fossil]]/Data_country[[#This Row],[ic_total]]*100</f>
        <v>7.9145999568686651</v>
      </c>
      <c r="AS11" s="25">
        <f>Data_country[[#This Row],[ic_nuc]]/Data_country[[#This Row],[ic_total]]*100</f>
        <v>0</v>
      </c>
      <c r="AT11" s="25">
        <f>Data_country[[#This Row],[ic_re]]/Data_country[[#This Row],[ic_total]]*100</f>
        <v>14.125512184602112</v>
      </c>
      <c r="AU11" s="25">
        <f>Data_country[[#This Row],[ic_h2o]]/Data_country[[#This Row],[ic_total]]*100</f>
        <v>7.3107612680612455</v>
      </c>
      <c r="AV11" s="25">
        <f>Data_country[[#This Row],[ic_wind]]/Data_country[[#This Row],[ic_total]]*100</f>
        <v>0.16174250593055853</v>
      </c>
      <c r="AW11" s="25">
        <f>Data_country[[#This Row],[ic_solar]]/Data_country[[#This Row],[ic_total]]*100</f>
        <v>0.61462152253612234</v>
      </c>
      <c r="AX11" s="25">
        <f>Data_country[[#This Row],[ic_bio]]/Data_country[[#This Row],[ic_total]]*100</f>
        <v>3.4181582919991369</v>
      </c>
      <c r="AY11" s="25">
        <f>Data_country[[#This Row],[ic_other_re]]/Data_country[[#This Row],[ic_total]]*100</f>
        <v>2.6202285960750484</v>
      </c>
      <c r="AZ11" s="24">
        <v>350.6</v>
      </c>
      <c r="BA11" s="24">
        <v>285.39999999999998</v>
      </c>
      <c r="BB11" s="24">
        <v>62.04</v>
      </c>
      <c r="BC11" s="24">
        <v>216.78</v>
      </c>
      <c r="BD11" s="24">
        <v>6.58</v>
      </c>
      <c r="BE11" s="24">
        <v>0</v>
      </c>
      <c r="BF11" s="24">
        <v>65.2</v>
      </c>
      <c r="BG11" s="24">
        <v>24.59</v>
      </c>
      <c r="BH11" s="24">
        <v>0.48</v>
      </c>
      <c r="BI11" s="24">
        <v>0.71</v>
      </c>
      <c r="BJ11" s="24">
        <v>22.48</v>
      </c>
      <c r="BK11" s="24">
        <v>16.940000000000001</v>
      </c>
      <c r="BL11" s="25">
        <f>Data_country[[#This Row],[gen_fossil]]/Data_country[[#This Row],[gen_total]]*100</f>
        <v>81.403308613804896</v>
      </c>
      <c r="BM11" s="25">
        <f>Data_country[[#This Row],[gen_gas]]/Data_country[[#This Row],[gen_total]]*100</f>
        <v>17.695379349686249</v>
      </c>
      <c r="BN11" s="25">
        <f>Data_country[[#This Row],[gen_coal]]/Data_country[[#This Row],[gen_total]]*100</f>
        <v>61.831146605818589</v>
      </c>
      <c r="BO11" s="25">
        <f>Data_country[[#This Row],[gen_other_fossil]]/Data_country[[#This Row],[gen_total]]*100</f>
        <v>1.8767826583000569</v>
      </c>
      <c r="BP11" s="25">
        <f>Data_country[[#This Row],[gen_nuc]]/Data_country[[#This Row],[gen_total]]*100</f>
        <v>0</v>
      </c>
      <c r="BQ11" s="25">
        <f>Data_country[[#This Row],[gen_re]]/Data_country[[#This Row],[gen_total]]*100</f>
        <v>18.596691386195094</v>
      </c>
      <c r="BR11" s="25">
        <f>Data_country[[#This Row],[gen_h2o]]/Data_country[[#This Row],[gen_total]]*100</f>
        <v>7.0136908157444378</v>
      </c>
      <c r="BS11" s="25">
        <f>Data_country[[#This Row],[gen_wind]]/Data_country[[#This Row],[gen_total]]*100</f>
        <v>0.13690815744438106</v>
      </c>
      <c r="BT11" s="25">
        <f>Data_country[[#This Row],[gen_solar]]/Data_country[[#This Row],[gen_total]]*100</f>
        <v>0.20250998288648031</v>
      </c>
      <c r="BU11" s="25">
        <f>Data_country[[#This Row],[gen_bio]]/Data_country[[#This Row],[gen_total]]*100</f>
        <v>6.4118653736451803</v>
      </c>
      <c r="BV11" s="25">
        <f>Data_country[[#This Row],[gen_other_re]]/Data_country[[#This Row],[gen_total]]*100</f>
        <v>4.8317170564746155</v>
      </c>
    </row>
    <row r="12" spans="1:86" s="1" customFormat="1" ht="25.5" customHeight="1" x14ac:dyDescent="0.25">
      <c r="A12" s="23" t="s">
        <v>319</v>
      </c>
      <c r="B12" s="23">
        <v>2021</v>
      </c>
      <c r="C12" s="24">
        <v>1313069.7639866001</v>
      </c>
      <c r="D12" s="24">
        <v>126.70513800000001</v>
      </c>
      <c r="E12" s="24">
        <f>Data_country[[#This Row],[gdp]]/Data_country[[#This Row],[population]]</f>
        <v>10363.192722197264</v>
      </c>
      <c r="F12" s="24">
        <v>513.99240408168396</v>
      </c>
      <c r="G12" s="24">
        <f>Data_country[[#This Row],[co2_total]]/Data_country[[#This Row],[population]]</f>
        <v>4.0566026934257708</v>
      </c>
      <c r="H12" s="24">
        <v>148.94</v>
      </c>
      <c r="I12" s="24">
        <f>Data_country[[#This Row],[co2_power_fossil]]/Data_country[[#This Row],[co2_total]]*100</f>
        <v>28.977081921298272</v>
      </c>
      <c r="J12" s="25">
        <f>Data_country[[#This Row],[co2_power_fossil]]/H30*100</f>
        <v>1.1036721143835284</v>
      </c>
      <c r="K12" s="25">
        <v>25.6</v>
      </c>
      <c r="L12" s="24">
        <v>7.8332197293639183</v>
      </c>
      <c r="M12" s="24">
        <v>3.4439406394958496</v>
      </c>
      <c r="N12" s="24">
        <v>3.298997163772583</v>
      </c>
      <c r="O12" s="24">
        <v>0.19845439493656158</v>
      </c>
      <c r="P12" s="24">
        <v>0.10777795314788818</v>
      </c>
      <c r="Q12" s="24">
        <v>0.32703691720962524</v>
      </c>
      <c r="R12" s="24">
        <v>0.45701266080141068</v>
      </c>
      <c r="S12" s="24">
        <f t="shared" si="0"/>
        <v>43.96583727360229</v>
      </c>
      <c r="T12" s="24">
        <f t="shared" si="1"/>
        <v>42.115468195100306</v>
      </c>
      <c r="U12" s="24">
        <f t="shared" si="2"/>
        <v>2.5334971032745011</v>
      </c>
      <c r="V12" s="24">
        <f t="shared" si="3"/>
        <v>1.3759087178911562</v>
      </c>
      <c r="W12" s="24">
        <f t="shared" si="4"/>
        <v>4.1749999171309042</v>
      </c>
      <c r="X12" s="24">
        <f t="shared" si="5"/>
        <v>5.8342887930008507</v>
      </c>
      <c r="Y12" s="24">
        <v>1.1546194553375244</v>
      </c>
      <c r="Z12" s="24">
        <v>0.13756099343299866</v>
      </c>
      <c r="AA12" s="24">
        <f>(1-Data_country[[#This Row],[pro_gas]]/Data_country[[#This Row],[pricon_gas]])*100</f>
        <v>65.000895786853178</v>
      </c>
      <c r="AB12" s="24">
        <f>(1-Data_country[[#This Row],[pro_coal]]/Data_country[[#This Row],[pricon_coal]])*100</f>
        <v>30.683826136996494</v>
      </c>
      <c r="AC12" s="24">
        <f>Data_country[[#This Row],[ic_gas]]+Data_country[[#This Row],[ic_coal]]+Data_country[[#This Row],[ic_other_fossil]]+Data_country[[#This Row],[ic_nuc]]+Data_country[[#This Row],[ic_h2o]]+Data_country[[#This Row],[ic_wind]]+Data_country[[#This Row],[ic_solar]]+Data_country[[#This Row],[ic_bio]]+Data_country[[#This Row],[ic_other_re]]</f>
        <v>104.85</v>
      </c>
      <c r="AD12" s="24">
        <v>73.73</v>
      </c>
      <c r="AE12" s="24">
        <v>42.26</v>
      </c>
      <c r="AF12" s="24">
        <v>5.38</v>
      </c>
      <c r="AG12" s="24">
        <v>26.09</v>
      </c>
      <c r="AH12" s="24">
        <v>1.61</v>
      </c>
      <c r="AI12" s="24">
        <v>29.51</v>
      </c>
      <c r="AJ12" s="24">
        <v>13.3</v>
      </c>
      <c r="AK12" s="24">
        <v>7.15</v>
      </c>
      <c r="AL12" s="24">
        <v>8.18</v>
      </c>
      <c r="AM12" s="24">
        <v>0.88</v>
      </c>
      <c r="AN12" s="24">
        <v>0</v>
      </c>
      <c r="AO12" s="25">
        <f>Data_country[[#This Row],[ic_fossil]]/Data_country[[#This Row],[ic_total]]*100</f>
        <v>70.319504053409645</v>
      </c>
      <c r="AP12" s="25">
        <f>Data_country[[#This Row],[ic_gas]]/Data_country[[#This Row],[ic_total]]*100</f>
        <v>40.30519790176443</v>
      </c>
      <c r="AQ12" s="25">
        <f>Data_country[[#This Row],[ic_coal]]/Data_country[[#This Row],[ic_total]]*100</f>
        <v>5.1311397234144014</v>
      </c>
      <c r="AR12" s="25">
        <f>Data_country[[#This Row],[ic_other_fossil]]/Data_country[[#This Row],[ic_total]]*100</f>
        <v>24.883166428230808</v>
      </c>
      <c r="AS12" s="25">
        <f>Data_country[[#This Row],[ic_nuc]]/Data_country[[#This Row],[ic_total]]*100</f>
        <v>1.5355269432522654</v>
      </c>
      <c r="AT12" s="25">
        <f>Data_country[[#This Row],[ic_re]]/Data_country[[#This Row],[ic_total]]*100</f>
        <v>28.144969003338105</v>
      </c>
      <c r="AU12" s="25">
        <f>Data_country[[#This Row],[ic_h2o]]/Data_country[[#This Row],[ic_total]]*100</f>
        <v>12.684787792083933</v>
      </c>
      <c r="AV12" s="25">
        <f>Data_country[[#This Row],[ic_wind]]/Data_country[[#This Row],[ic_total]]*100</f>
        <v>6.8192656175488793</v>
      </c>
      <c r="AW12" s="25">
        <f>Data_country[[#This Row],[ic_solar]]/Data_country[[#This Row],[ic_total]]*100</f>
        <v>7.8016213638531244</v>
      </c>
      <c r="AX12" s="25">
        <f>Data_country[[#This Row],[ic_bio]]/Data_country[[#This Row],[ic_total]]*100</f>
        <v>0.83929422985216973</v>
      </c>
      <c r="AY12" s="25">
        <f>Data_country[[#This Row],[ic_other_re]]/Data_country[[#This Row],[ic_total]]*100</f>
        <v>0</v>
      </c>
      <c r="AZ12" s="24">
        <v>330</v>
      </c>
      <c r="BA12" s="24">
        <v>235.99</v>
      </c>
      <c r="BB12" s="24">
        <v>191.26</v>
      </c>
      <c r="BC12" s="24">
        <v>13.23</v>
      </c>
      <c r="BD12" s="24">
        <v>31.5</v>
      </c>
      <c r="BE12" s="24">
        <v>11.92</v>
      </c>
      <c r="BF12" s="24">
        <v>82.09</v>
      </c>
      <c r="BG12" s="24">
        <v>34.72</v>
      </c>
      <c r="BH12" s="24">
        <v>21.07</v>
      </c>
      <c r="BI12" s="24">
        <v>20.190000000000001</v>
      </c>
      <c r="BJ12" s="24">
        <v>6.11</v>
      </c>
      <c r="BK12" s="24">
        <v>0</v>
      </c>
      <c r="BL12" s="25">
        <f>Data_country[[#This Row],[gen_fossil]]/Data_country[[#This Row],[gen_total]]*100</f>
        <v>71.512121212121215</v>
      </c>
      <c r="BM12" s="25">
        <f>Data_country[[#This Row],[gen_gas]]/Data_country[[#This Row],[gen_total]]*100</f>
        <v>57.957575757575754</v>
      </c>
      <c r="BN12" s="25">
        <f>Data_country[[#This Row],[gen_coal]]/Data_country[[#This Row],[gen_total]]*100</f>
        <v>4.0090909090909097</v>
      </c>
      <c r="BO12" s="25">
        <f>Data_country[[#This Row],[gen_other_fossil]]/Data_country[[#This Row],[gen_total]]*100</f>
        <v>9.5454545454545467</v>
      </c>
      <c r="BP12" s="25">
        <f>Data_country[[#This Row],[gen_nuc]]/Data_country[[#This Row],[gen_total]]*100</f>
        <v>3.6121212121212123</v>
      </c>
      <c r="BQ12" s="25">
        <f>Data_country[[#This Row],[gen_re]]/Data_country[[#This Row],[gen_total]]*100</f>
        <v>24.875757575757575</v>
      </c>
      <c r="BR12" s="25">
        <f>Data_country[[#This Row],[gen_h2o]]/Data_country[[#This Row],[gen_total]]*100</f>
        <v>10.521212121212121</v>
      </c>
      <c r="BS12" s="25">
        <f>Data_country[[#This Row],[gen_wind]]/Data_country[[#This Row],[gen_total]]*100</f>
        <v>6.3848484848484848</v>
      </c>
      <c r="BT12" s="25">
        <f>Data_country[[#This Row],[gen_solar]]/Data_country[[#This Row],[gen_total]]*100</f>
        <v>6.1181818181818182</v>
      </c>
      <c r="BU12" s="25">
        <f>Data_country[[#This Row],[gen_bio]]/Data_country[[#This Row],[gen_total]]*100</f>
        <v>1.8515151515151516</v>
      </c>
      <c r="BV12" s="25">
        <f>Data_country[[#This Row],[gen_other_re]]/Data_country[[#This Row],[gen_total]]*100</f>
        <v>0</v>
      </c>
    </row>
    <row r="13" spans="1:86" s="1" customFormat="1" ht="25.5" customHeight="1" x14ac:dyDescent="0.25">
      <c r="A13" s="23" t="s">
        <v>319</v>
      </c>
      <c r="B13" s="23">
        <v>2022</v>
      </c>
      <c r="C13" s="24">
        <v>1463323.88903656</v>
      </c>
      <c r="D13" s="24">
        <v>127.504125</v>
      </c>
      <c r="E13" s="24">
        <f>Data_country[[#This Row],[gdp]]/Data_country[[#This Row],[population]]</f>
        <v>11476.678805776362</v>
      </c>
      <c r="F13" s="24">
        <v>538.14483597138303</v>
      </c>
      <c r="G13" s="24">
        <f>Data_country[[#This Row],[co2_total]]/Data_country[[#This Row],[population]]</f>
        <v>4.2206072624817672</v>
      </c>
      <c r="H13" s="24">
        <v>157.28</v>
      </c>
      <c r="I13" s="24">
        <f>Data_country[[#This Row],[co2_power_fossil]]/Data_country[[#This Row],[co2_total]]*100</f>
        <v>29.226332668620774</v>
      </c>
      <c r="J13" s="25">
        <f>Data_country[[#This Row],[co2_power_fossil]]/H31*100</f>
        <v>1.1505107732371649</v>
      </c>
      <c r="K13" s="25">
        <v>25</v>
      </c>
      <c r="L13" s="24">
        <v>8.1831018589437008</v>
      </c>
      <c r="M13" s="24">
        <v>3.7742676734924316</v>
      </c>
      <c r="N13" s="24">
        <v>3.2740933895111084</v>
      </c>
      <c r="O13" s="24">
        <v>0.24421299993991852</v>
      </c>
      <c r="P13" s="24">
        <v>9.771670401096344E-2</v>
      </c>
      <c r="Q13" s="24">
        <v>0.33374416828155518</v>
      </c>
      <c r="R13" s="24">
        <v>0.45906692370772362</v>
      </c>
      <c r="S13" s="24">
        <f t="shared" si="0"/>
        <v>46.122701862342765</v>
      </c>
      <c r="T13" s="24">
        <f t="shared" si="1"/>
        <v>40.010419593307347</v>
      </c>
      <c r="U13" s="24">
        <f t="shared" si="2"/>
        <v>2.984357327447984</v>
      </c>
      <c r="V13" s="24">
        <f t="shared" si="3"/>
        <v>1.1941279198934107</v>
      </c>
      <c r="W13" s="24">
        <f t="shared" si="4"/>
        <v>4.0784555054363691</v>
      </c>
      <c r="X13" s="24">
        <f t="shared" si="5"/>
        <v>5.6099377915721238</v>
      </c>
      <c r="Y13" s="24">
        <v>1.2143008708953857</v>
      </c>
      <c r="Z13" s="24">
        <v>0.13759000599384308</v>
      </c>
      <c r="AA13" s="24">
        <f>(1-Data_country[[#This Row],[pro_gas]]/Data_country[[#This Row],[pricon_gas]])*100</f>
        <v>62.911843785961565</v>
      </c>
      <c r="AB13" s="24">
        <f>(1-Data_country[[#This Row],[pro_coal]]/Data_country[[#This Row],[pricon_coal]])*100</f>
        <v>43.659835460154419</v>
      </c>
      <c r="AC13" s="24">
        <f>Data_country[[#This Row],[ic_gas]]+Data_country[[#This Row],[ic_coal]]+Data_country[[#This Row],[ic_other_fossil]]+Data_country[[#This Row],[ic_nuc]]+Data_country[[#This Row],[ic_h2o]]+Data_country[[#This Row],[ic_wind]]+Data_country[[#This Row],[ic_solar]]+Data_country[[#This Row],[ic_bio]]+Data_country[[#This Row],[ic_other_re]]</f>
        <v>107.36999999999999</v>
      </c>
      <c r="AD13" s="24">
        <v>74.91</v>
      </c>
      <c r="AE13" s="24">
        <v>43.51</v>
      </c>
      <c r="AF13" s="24">
        <v>5.38</v>
      </c>
      <c r="AG13" s="24">
        <v>26.02</v>
      </c>
      <c r="AH13" s="24">
        <v>1.61</v>
      </c>
      <c r="AI13" s="24">
        <v>30.85</v>
      </c>
      <c r="AJ13" s="24">
        <v>13.3</v>
      </c>
      <c r="AK13" s="24">
        <v>7.32</v>
      </c>
      <c r="AL13" s="24">
        <v>9.36</v>
      </c>
      <c r="AM13" s="24">
        <v>0.87</v>
      </c>
      <c r="AN13" s="24">
        <v>0</v>
      </c>
      <c r="AO13" s="25">
        <f>Data_country[[#This Row],[ic_fossil]]/Data_country[[#This Row],[ic_total]]*100</f>
        <v>69.768091645711095</v>
      </c>
      <c r="AP13" s="25">
        <f>Data_country[[#This Row],[ic_gas]]/Data_country[[#This Row],[ic_total]]*100</f>
        <v>40.523423675142034</v>
      </c>
      <c r="AQ13" s="25">
        <f>Data_country[[#This Row],[ic_coal]]/Data_country[[#This Row],[ic_total]]*100</f>
        <v>5.0107106268045083</v>
      </c>
      <c r="AR13" s="25">
        <f>Data_country[[#This Row],[ic_other_fossil]]/Data_country[[#This Row],[ic_total]]*100</f>
        <v>24.233957343764555</v>
      </c>
      <c r="AS13" s="25">
        <f>Data_country[[#This Row],[ic_nuc]]/Data_country[[#This Row],[ic_total]]*100</f>
        <v>1.499487752631089</v>
      </c>
      <c r="AT13" s="25">
        <f>Data_country[[#This Row],[ic_re]]/Data_country[[#This Row],[ic_total]]*100</f>
        <v>28.732420601657822</v>
      </c>
      <c r="AU13" s="25">
        <f>Data_country[[#This Row],[ic_h2o]]/Data_country[[#This Row],[ic_total]]*100</f>
        <v>12.387072739126387</v>
      </c>
      <c r="AV13" s="25">
        <f>Data_country[[#This Row],[ic_wind]]/Data_country[[#This Row],[ic_total]]*100</f>
        <v>6.8175468007823428</v>
      </c>
      <c r="AW13" s="25">
        <f>Data_country[[#This Row],[ic_solar]]/Data_country[[#This Row],[ic_total]]*100</f>
        <v>8.7175188600167655</v>
      </c>
      <c r="AX13" s="25">
        <f>Data_country[[#This Row],[ic_bio]]/Data_country[[#This Row],[ic_total]]*100</f>
        <v>0.81028220173232757</v>
      </c>
      <c r="AY13" s="25">
        <f>Data_country[[#This Row],[ic_other_re]]/Data_country[[#This Row],[ic_total]]*100</f>
        <v>0</v>
      </c>
      <c r="AZ13" s="24">
        <v>340.15</v>
      </c>
      <c r="BA13" s="24">
        <v>246.17</v>
      </c>
      <c r="BB13" s="24">
        <v>192.14</v>
      </c>
      <c r="BC13" s="24">
        <v>21.36</v>
      </c>
      <c r="BD13" s="24">
        <v>32.67</v>
      </c>
      <c r="BE13" s="24">
        <v>10.85</v>
      </c>
      <c r="BF13" s="24">
        <v>83.13</v>
      </c>
      <c r="BG13" s="24">
        <v>35.56</v>
      </c>
      <c r="BH13" s="24">
        <v>20.53</v>
      </c>
      <c r="BI13" s="24">
        <v>20.34</v>
      </c>
      <c r="BJ13" s="24">
        <v>6.7</v>
      </c>
      <c r="BK13" s="24">
        <v>0</v>
      </c>
      <c r="BL13" s="25">
        <f>Data_country[[#This Row],[gen_fossil]]/Data_country[[#This Row],[gen_total]]*100</f>
        <v>72.371012788475682</v>
      </c>
      <c r="BM13" s="25">
        <f>Data_country[[#This Row],[gen_gas]]/Data_country[[#This Row],[gen_total]]*100</f>
        <v>56.486844039394377</v>
      </c>
      <c r="BN13" s="25">
        <f>Data_country[[#This Row],[gen_coal]]/Data_country[[#This Row],[gen_total]]*100</f>
        <v>6.2795825371159779</v>
      </c>
      <c r="BO13" s="25">
        <f>Data_country[[#This Row],[gen_other_fossil]]/Data_country[[#This Row],[gen_total]]*100</f>
        <v>9.6045862119653105</v>
      </c>
      <c r="BP13" s="25">
        <f>Data_country[[#This Row],[gen_nuc]]/Data_country[[#This Row],[gen_total]]*100</f>
        <v>3.189769219462002</v>
      </c>
      <c r="BQ13" s="25">
        <f>Data_country[[#This Row],[gen_re]]/Data_country[[#This Row],[gen_total]]*100</f>
        <v>24.439217992062325</v>
      </c>
      <c r="BR13" s="25">
        <f>Data_country[[#This Row],[gen_h2o]]/Data_country[[#This Row],[gen_total]]*100</f>
        <v>10.454211377333531</v>
      </c>
      <c r="BS13" s="25">
        <f>Data_country[[#This Row],[gen_wind]]/Data_country[[#This Row],[gen_total]]*100</f>
        <v>6.0355725415257977</v>
      </c>
      <c r="BT13" s="25">
        <f>Data_country[[#This Row],[gen_solar]]/Data_country[[#This Row],[gen_total]]*100</f>
        <v>5.9797148316919015</v>
      </c>
      <c r="BU13" s="25">
        <f>Data_country[[#This Row],[gen_bio]]/Data_country[[#This Row],[gen_total]]*100</f>
        <v>1.9697192415110982</v>
      </c>
      <c r="BV13" s="25">
        <f>Data_country[[#This Row],[gen_other_re]]/Data_country[[#This Row],[gen_total]]*100</f>
        <v>0</v>
      </c>
    </row>
    <row r="14" spans="1:86" s="1" customFormat="1" ht="25.5" customHeight="1" x14ac:dyDescent="0.25">
      <c r="A14" s="23" t="s">
        <v>319</v>
      </c>
      <c r="B14" s="23">
        <v>2023</v>
      </c>
      <c r="C14" s="24">
        <v>1788886.8210468099</v>
      </c>
      <c r="D14" s="24">
        <v>128.455567</v>
      </c>
      <c r="E14" s="24">
        <f>Data_country[[#This Row],[gdp]]/Data_country[[#This Row],[population]]</f>
        <v>13926.113619091417</v>
      </c>
      <c r="F14" s="24">
        <v>559.74000448493496</v>
      </c>
      <c r="G14" s="24">
        <f>Data_country[[#This Row],[co2_total]]/Data_country[[#This Row],[population]]</f>
        <v>4.3574600739953526</v>
      </c>
      <c r="H14" s="24">
        <v>171.17</v>
      </c>
      <c r="I14" s="24">
        <f>Data_country[[#This Row],[co2_power_fossil]]/Data_country[[#This Row],[co2_total]]*100</f>
        <v>30.580269165772467</v>
      </c>
      <c r="J14" s="25">
        <f>Data_country[[#This Row],[co2_power_fossil]]/H32*100</f>
        <v>1.2353109711520209</v>
      </c>
      <c r="K14" s="25">
        <v>25.7</v>
      </c>
      <c r="L14" s="24">
        <v>8.452957040630281</v>
      </c>
      <c r="M14" s="24">
        <v>3.8374495506286621</v>
      </c>
      <c r="N14" s="24">
        <v>3.5126187801361084</v>
      </c>
      <c r="O14" s="24">
        <v>0.26395875215530396</v>
      </c>
      <c r="P14" s="24">
        <v>0.11114981770515442</v>
      </c>
      <c r="Q14" s="24">
        <v>0.19076694548130035</v>
      </c>
      <c r="R14" s="24">
        <v>0.53701319452375174</v>
      </c>
      <c r="S14" s="24">
        <f t="shared" si="0"/>
        <v>45.397717416324753</v>
      </c>
      <c r="T14" s="24">
        <f t="shared" si="1"/>
        <v>41.554911059552666</v>
      </c>
      <c r="U14" s="24">
        <f t="shared" si="2"/>
        <v>3.1226794468083834</v>
      </c>
      <c r="V14" s="24">
        <f t="shared" si="3"/>
        <v>1.3149223067253009</v>
      </c>
      <c r="W14" s="24">
        <f t="shared" si="4"/>
        <v>2.2568072281019913</v>
      </c>
      <c r="X14" s="24">
        <f t="shared" si="5"/>
        <v>6.3529625424869094</v>
      </c>
      <c r="Y14" s="24">
        <v>1.2811907529830933</v>
      </c>
      <c r="Z14" s="24">
        <v>0.13778868317604065</v>
      </c>
      <c r="AA14" s="24">
        <f>(1-Data_country[[#This Row],[pro_gas]]/Data_country[[#This Row],[pricon_gas]])*100</f>
        <v>63.526051838353801</v>
      </c>
      <c r="AB14" s="24">
        <f>(1-Data_country[[#This Row],[pro_coal]]/Data_country[[#This Row],[pricon_coal]])*100</f>
        <v>47.799161023851674</v>
      </c>
      <c r="AC14" s="24">
        <f>Data_country[[#This Row],[ic_gas]]+Data_country[[#This Row],[ic_coal]]+Data_country[[#This Row],[ic_other_fossil]]+Data_country[[#This Row],[ic_nuc]]+Data_country[[#This Row],[ic_h2o]]+Data_country[[#This Row],[ic_wind]]+Data_country[[#This Row],[ic_solar]]+Data_country[[#This Row],[ic_bio]]+Data_country[[#This Row],[ic_other_re]]</f>
        <v>110.3</v>
      </c>
      <c r="AD14" s="24">
        <v>76.27</v>
      </c>
      <c r="AE14" s="24">
        <v>44.95</v>
      </c>
      <c r="AF14" s="24">
        <v>5.38</v>
      </c>
      <c r="AG14" s="24">
        <v>25.94</v>
      </c>
      <c r="AH14" s="24">
        <v>1.61</v>
      </c>
      <c r="AI14" s="24">
        <v>32.42</v>
      </c>
      <c r="AJ14" s="24">
        <v>13.3</v>
      </c>
      <c r="AK14" s="24">
        <v>7.32</v>
      </c>
      <c r="AL14" s="24">
        <v>10.91</v>
      </c>
      <c r="AM14" s="24">
        <v>0.89</v>
      </c>
      <c r="AN14" s="24">
        <v>0</v>
      </c>
      <c r="AO14" s="25">
        <f>Data_country[[#This Row],[ic_fossil]]/Data_country[[#This Row],[ic_total]]*100</f>
        <v>69.14777878513145</v>
      </c>
      <c r="AP14" s="25">
        <f>Data_country[[#This Row],[ic_gas]]/Data_country[[#This Row],[ic_total]]*100</f>
        <v>40.75249320036265</v>
      </c>
      <c r="AQ14" s="25">
        <f>Data_country[[#This Row],[ic_coal]]/Data_country[[#This Row],[ic_total]]*100</f>
        <v>4.8776065276518583</v>
      </c>
      <c r="AR14" s="25">
        <f>Data_country[[#This Row],[ic_other_fossil]]/Data_country[[#This Row],[ic_total]]*100</f>
        <v>23.517679057116954</v>
      </c>
      <c r="AS14" s="25">
        <f>Data_country[[#This Row],[ic_nuc]]/Data_country[[#This Row],[ic_total]]*100</f>
        <v>1.4596554850407979</v>
      </c>
      <c r="AT14" s="25">
        <f>Data_country[[#This Row],[ic_re]]/Data_country[[#This Row],[ic_total]]*100</f>
        <v>29.392565729827748</v>
      </c>
      <c r="AU14" s="25">
        <f>Data_country[[#This Row],[ic_h2o]]/Data_country[[#This Row],[ic_total]]*100</f>
        <v>12.058023572076157</v>
      </c>
      <c r="AV14" s="25">
        <f>Data_country[[#This Row],[ic_wind]]/Data_country[[#This Row],[ic_total]]*100</f>
        <v>6.6364460562103362</v>
      </c>
      <c r="AW14" s="25">
        <f>Data_country[[#This Row],[ic_solar]]/Data_country[[#This Row],[ic_total]]*100</f>
        <v>9.8912058023572094</v>
      </c>
      <c r="AX14" s="25">
        <f>Data_country[[#This Row],[ic_bio]]/Data_country[[#This Row],[ic_total]]*100</f>
        <v>0.80689029918404354</v>
      </c>
      <c r="AY14" s="25">
        <f>Data_country[[#This Row],[ic_other_re]]/Data_country[[#This Row],[ic_total]]*100</f>
        <v>0</v>
      </c>
      <c r="AZ14" s="24">
        <v>354.86</v>
      </c>
      <c r="BA14" s="24">
        <v>266.18</v>
      </c>
      <c r="BB14" s="24">
        <v>204.92</v>
      </c>
      <c r="BC14" s="24">
        <v>27.85</v>
      </c>
      <c r="BD14" s="24">
        <v>33.409999999999997</v>
      </c>
      <c r="BE14" s="24">
        <v>12.39</v>
      </c>
      <c r="BF14" s="24">
        <v>76.290000000000006</v>
      </c>
      <c r="BG14" s="24">
        <v>20.399999999999999</v>
      </c>
      <c r="BH14" s="24">
        <v>21.65</v>
      </c>
      <c r="BI14" s="24">
        <v>27.14</v>
      </c>
      <c r="BJ14" s="24">
        <v>7.1</v>
      </c>
      <c r="BK14" s="24">
        <v>0</v>
      </c>
      <c r="BL14" s="25">
        <f>Data_country[[#This Row],[gen_fossil]]/Data_country[[#This Row],[gen_total]]*100</f>
        <v>75.009863044580953</v>
      </c>
      <c r="BM14" s="25">
        <f>Data_country[[#This Row],[gen_gas]]/Data_country[[#This Row],[gen_total]]*100</f>
        <v>57.746717015160897</v>
      </c>
      <c r="BN14" s="25">
        <f>Data_country[[#This Row],[gen_coal]]/Data_country[[#This Row],[gen_total]]*100</f>
        <v>7.8481654737079412</v>
      </c>
      <c r="BO14" s="25">
        <f>Data_country[[#This Row],[gen_other_fossil]]/Data_country[[#This Row],[gen_total]]*100</f>
        <v>9.4149805557121109</v>
      </c>
      <c r="BP14" s="25">
        <f>Data_country[[#This Row],[gen_nuc]]/Data_country[[#This Row],[gen_total]]*100</f>
        <v>3.4915177816603733</v>
      </c>
      <c r="BQ14" s="25">
        <f>Data_country[[#This Row],[gen_re]]/Data_country[[#This Row],[gen_total]]*100</f>
        <v>21.498619173758666</v>
      </c>
      <c r="BR14" s="25">
        <f>Data_country[[#This Row],[gen_h2o]]/Data_country[[#This Row],[gen_total]]*100</f>
        <v>5.7487459843318485</v>
      </c>
      <c r="BS14" s="25">
        <f>Data_country[[#This Row],[gen_wind]]/Data_country[[#This Row],[gen_total]]*100</f>
        <v>6.1009975765090454</v>
      </c>
      <c r="BT14" s="25">
        <f>Data_country[[#This Row],[gen_solar]]/Data_country[[#This Row],[gen_total]]*100</f>
        <v>7.6480865693512934</v>
      </c>
      <c r="BU14" s="25">
        <f>Data_country[[#This Row],[gen_bio]]/Data_country[[#This Row],[gen_total]]*100</f>
        <v>2.0007890435664768</v>
      </c>
      <c r="BV14" s="25">
        <f>Data_country[[#This Row],[gen_other_re]]/Data_country[[#This Row],[gen_total]]*100</f>
        <v>0</v>
      </c>
    </row>
    <row r="15" spans="1:86" s="1" customFormat="1" ht="25.5" customHeight="1" x14ac:dyDescent="0.25">
      <c r="A15" s="23" t="s">
        <v>320</v>
      </c>
      <c r="B15" s="23">
        <v>2021</v>
      </c>
      <c r="C15" s="24">
        <v>681346.07760860701</v>
      </c>
      <c r="D15" s="24">
        <v>37.747123999999999</v>
      </c>
      <c r="E15" s="24">
        <f>Data_country[[#This Row],[gdp]]/Data_country[[#This Row],[population]]</f>
        <v>18050.277886299551</v>
      </c>
      <c r="F15" s="24">
        <v>343.69896370056102</v>
      </c>
      <c r="G15" s="24">
        <f>Data_country[[#This Row],[co2_total]]/Data_country[[#This Row],[population]]</f>
        <v>9.1053020013011068</v>
      </c>
      <c r="H15" s="24">
        <v>133.13</v>
      </c>
      <c r="I15" s="24">
        <f>Data_country[[#This Row],[co2_power_fossil]]/Data_country[[#This Row],[co2_total]]*100</f>
        <v>38.734478151056081</v>
      </c>
      <c r="J15" s="25">
        <f>Data_country[[#This Row],[co2_power_fossil]]/H30*100</f>
        <v>0.98651717864830912</v>
      </c>
      <c r="K15" s="25">
        <v>15.5</v>
      </c>
      <c r="L15" s="24">
        <v>4.4091300163418055</v>
      </c>
      <c r="M15" s="24">
        <v>1.3503897190093994</v>
      </c>
      <c r="N15" s="24">
        <v>0.80545699596405029</v>
      </c>
      <c r="O15" s="24">
        <v>1.9049420356750488</v>
      </c>
      <c r="P15" s="24">
        <v>0</v>
      </c>
      <c r="Q15" s="24">
        <v>2.2035181522369385E-2</v>
      </c>
      <c r="R15" s="24">
        <v>0.32630608417093754</v>
      </c>
      <c r="S15" s="24">
        <f t="shared" si="0"/>
        <v>30.627124035906728</v>
      </c>
      <c r="T15" s="24">
        <f t="shared" si="1"/>
        <v>18.267934784838278</v>
      </c>
      <c r="U15" s="24">
        <f t="shared" si="2"/>
        <v>43.204487701987823</v>
      </c>
      <c r="V15" s="24">
        <f t="shared" si="3"/>
        <v>0</v>
      </c>
      <c r="W15" s="24">
        <f t="shared" si="4"/>
        <v>0.499762570863167</v>
      </c>
      <c r="X15" s="24">
        <f t="shared" si="5"/>
        <v>7.4006909064040078</v>
      </c>
      <c r="Y15" s="24">
        <v>0.13983400166034698</v>
      </c>
      <c r="Z15" s="24">
        <v>1.7602195739746094</v>
      </c>
      <c r="AA15" s="24">
        <f>(1-Data_country[[#This Row],[pro_gas]]/Data_country[[#This Row],[pricon_gas]])*100</f>
        <v>82.639172251154164</v>
      </c>
      <c r="AB15" s="24">
        <f>(1-Data_country[[#This Row],[pro_coal]]/Data_country[[#This Row],[pricon_coal]])*100</f>
        <v>7.5972107807025573</v>
      </c>
      <c r="AC15" s="24">
        <f>Data_country[[#This Row],[ic_gas]]+Data_country[[#This Row],[ic_coal]]+Data_country[[#This Row],[ic_other_fossil]]+Data_country[[#This Row],[ic_nuc]]+Data_country[[#This Row],[ic_h2o]]+Data_country[[#This Row],[ic_wind]]+Data_country[[#This Row],[ic_solar]]+Data_country[[#This Row],[ic_bio]]+Data_country[[#This Row],[ic_other_re]]</f>
        <v>48.889999999999993</v>
      </c>
      <c r="AD15" s="24">
        <v>32.43</v>
      </c>
      <c r="AE15" s="24">
        <v>3.47</v>
      </c>
      <c r="AF15" s="24">
        <v>28.96</v>
      </c>
      <c r="AG15" s="24">
        <v>0</v>
      </c>
      <c r="AH15" s="24">
        <v>0</v>
      </c>
      <c r="AI15" s="24">
        <v>16.46</v>
      </c>
      <c r="AJ15" s="24">
        <v>0.97</v>
      </c>
      <c r="AK15" s="24">
        <v>6.97</v>
      </c>
      <c r="AL15" s="24">
        <v>7.42</v>
      </c>
      <c r="AM15" s="24">
        <v>1.05</v>
      </c>
      <c r="AN15" s="24">
        <v>0.05</v>
      </c>
      <c r="AO15" s="25">
        <f>Data_country[[#This Row],[ic_fossil]]/Data_country[[#This Row],[ic_total]]*100</f>
        <v>66.3325833503784</v>
      </c>
      <c r="AP15" s="25">
        <f>Data_country[[#This Row],[ic_gas]]/Data_country[[#This Row],[ic_total]]*100</f>
        <v>7.0975659644099007</v>
      </c>
      <c r="AQ15" s="25">
        <f>Data_country[[#This Row],[ic_coal]]/Data_country[[#This Row],[ic_total]]*100</f>
        <v>59.235017385968511</v>
      </c>
      <c r="AR15" s="25">
        <f>Data_country[[#This Row],[ic_other_fossil]]/Data_country[[#This Row],[ic_total]]*100</f>
        <v>0</v>
      </c>
      <c r="AS15" s="25">
        <f>Data_country[[#This Row],[ic_nuc]]/Data_country[[#This Row],[ic_total]]*100</f>
        <v>0</v>
      </c>
      <c r="AT15" s="25">
        <f>Data_country[[#This Row],[ic_re]]/Data_country[[#This Row],[ic_total]]*100</f>
        <v>33.667416649621607</v>
      </c>
      <c r="AU15" s="25">
        <f>Data_country[[#This Row],[ic_h2o]]/Data_country[[#This Row],[ic_total]]*100</f>
        <v>1.9840458171405198</v>
      </c>
      <c r="AV15" s="25">
        <f>Data_country[[#This Row],[ic_wind]]/Data_country[[#This Row],[ic_total]]*100</f>
        <v>14.256494170587034</v>
      </c>
      <c r="AW15" s="25">
        <f>Data_country[[#This Row],[ic_solar]]/Data_country[[#This Row],[ic_total]]*100</f>
        <v>15.176927797095521</v>
      </c>
      <c r="AX15" s="25">
        <f>Data_country[[#This Row],[ic_bio]]/Data_country[[#This Row],[ic_total]]*100</f>
        <v>2.1476784618531402</v>
      </c>
      <c r="AY15" s="25">
        <f>Data_country[[#This Row],[ic_other_re]]/Data_country[[#This Row],[ic_total]]*100</f>
        <v>0.10227040294538764</v>
      </c>
      <c r="AZ15" s="24">
        <v>178.79</v>
      </c>
      <c r="BA15" s="24">
        <v>148.22999999999999</v>
      </c>
      <c r="BB15" s="24">
        <v>15.82</v>
      </c>
      <c r="BC15" s="24">
        <v>127.57</v>
      </c>
      <c r="BD15" s="24">
        <v>4.84</v>
      </c>
      <c r="BE15" s="24">
        <v>0</v>
      </c>
      <c r="BF15" s="24">
        <v>30.56</v>
      </c>
      <c r="BG15" s="24">
        <v>2.34</v>
      </c>
      <c r="BH15" s="24">
        <v>16.23</v>
      </c>
      <c r="BI15" s="24">
        <v>3.93</v>
      </c>
      <c r="BJ15" s="24">
        <v>8.06</v>
      </c>
      <c r="BK15" s="24">
        <v>0</v>
      </c>
      <c r="BL15" s="25">
        <f>Data_country[[#This Row],[gen_fossil]]/Data_country[[#This Row],[gen_total]]*100</f>
        <v>82.907321438559194</v>
      </c>
      <c r="BM15" s="25">
        <f>Data_country[[#This Row],[gen_gas]]/Data_country[[#This Row],[gen_total]]*100</f>
        <v>8.8483695956149671</v>
      </c>
      <c r="BN15" s="25">
        <f>Data_country[[#This Row],[gen_coal]]/Data_country[[#This Row],[gen_total]]*100</f>
        <v>71.351865316852169</v>
      </c>
      <c r="BO15" s="25">
        <f>Data_country[[#This Row],[gen_other_fossil]]/Data_country[[#This Row],[gen_total]]*100</f>
        <v>2.7070865260920631</v>
      </c>
      <c r="BP15" s="25">
        <f>Data_country[[#This Row],[gen_nuc]]/Data_country[[#This Row],[gen_total]]*100</f>
        <v>0</v>
      </c>
      <c r="BQ15" s="25">
        <f>Data_country[[#This Row],[gen_re]]/Data_country[[#This Row],[gen_total]]*100</f>
        <v>17.092678561440795</v>
      </c>
      <c r="BR15" s="25">
        <f>Data_country[[#This Row],[gen_h2o]]/Data_country[[#This Row],[gen_total]]*100</f>
        <v>1.3087980312097993</v>
      </c>
      <c r="BS15" s="25">
        <f>Data_country[[#This Row],[gen_wind]]/Data_country[[#This Row],[gen_total]]*100</f>
        <v>9.0776889087756594</v>
      </c>
      <c r="BT15" s="25">
        <f>Data_country[[#This Row],[gen_solar]]/Data_country[[#This Row],[gen_total]]*100</f>
        <v>2.1981095139549196</v>
      </c>
      <c r="BU15" s="25">
        <f>Data_country[[#This Row],[gen_bio]]/Data_country[[#This Row],[gen_total]]*100</f>
        <v>4.50808210750042</v>
      </c>
      <c r="BV15" s="25">
        <f>Data_country[[#This Row],[gen_other_re]]/Data_country[[#This Row],[gen_total]]*100</f>
        <v>0</v>
      </c>
    </row>
    <row r="16" spans="1:86" s="1" customFormat="1" ht="25.5" customHeight="1" x14ac:dyDescent="0.25">
      <c r="A16" s="23" t="s">
        <v>320</v>
      </c>
      <c r="B16" s="23">
        <v>2022</v>
      </c>
      <c r="C16" s="24">
        <v>689763.329458441</v>
      </c>
      <c r="D16" s="24">
        <v>36.821748999999997</v>
      </c>
      <c r="E16" s="24">
        <f>Data_country[[#This Row],[gdp]]/Data_country[[#This Row],[population]]</f>
        <v>18732.497727319827</v>
      </c>
      <c r="F16" s="24">
        <v>326.92861563852102</v>
      </c>
      <c r="G16" s="24">
        <f>Data_country[[#This Row],[co2_total]]/Data_country[[#This Row],[population]]</f>
        <v>8.8786824232200665</v>
      </c>
      <c r="H16" s="24">
        <v>128.58000000000001</v>
      </c>
      <c r="I16" s="24">
        <f>Data_country[[#This Row],[co2_power_fossil]]/Data_country[[#This Row],[co2_total]]*100</f>
        <v>39.32968661946942</v>
      </c>
      <c r="J16" s="25">
        <f>Data_country[[#This Row],[co2_power_fossil]]/H31*100</f>
        <v>0.94056889129472709</v>
      </c>
      <c r="K16" s="25">
        <v>15.8</v>
      </c>
      <c r="L16" s="24">
        <v>4.2727257758378983</v>
      </c>
      <c r="M16" s="24">
        <v>1.4019336700439453</v>
      </c>
      <c r="N16" s="24">
        <v>0.66976702213287354</v>
      </c>
      <c r="O16" s="24">
        <v>1.7842789888381958</v>
      </c>
      <c r="P16" s="24">
        <v>0</v>
      </c>
      <c r="Q16" s="24">
        <v>1.8472783267498016E-2</v>
      </c>
      <c r="R16" s="24">
        <v>0.39827331155538559</v>
      </c>
      <c r="S16" s="24">
        <f t="shared" si="0"/>
        <v>32.811225049167135</v>
      </c>
      <c r="T16" s="24">
        <f t="shared" si="1"/>
        <v>15.675403881999181</v>
      </c>
      <c r="U16" s="24">
        <f t="shared" si="2"/>
        <v>41.759735645292885</v>
      </c>
      <c r="V16" s="24">
        <f t="shared" si="3"/>
        <v>0</v>
      </c>
      <c r="W16" s="24">
        <f t="shared" si="4"/>
        <v>0.43234188751267177</v>
      </c>
      <c r="X16" s="24">
        <f t="shared" si="5"/>
        <v>9.3212935360281257</v>
      </c>
      <c r="Y16" s="24">
        <v>0.13695700466632843</v>
      </c>
      <c r="Z16" s="24">
        <v>1.7105958461761475</v>
      </c>
      <c r="AA16" s="24">
        <f>(1-Data_country[[#This Row],[pro_gas]]/Data_country[[#This Row],[pricon_gas]])*100</f>
        <v>79.551545516500838</v>
      </c>
      <c r="AB16" s="24">
        <f>(1-Data_country[[#This Row],[pro_coal]]/Data_country[[#This Row],[pricon_coal]])*100</f>
        <v>4.1295752022516341</v>
      </c>
      <c r="AC16" s="24">
        <f>Data_country[[#This Row],[ic_gas]]+Data_country[[#This Row],[ic_coal]]+Data_country[[#This Row],[ic_other_fossil]]+Data_country[[#This Row],[ic_nuc]]+Data_country[[#This Row],[ic_h2o]]+Data_country[[#This Row],[ic_wind]]+Data_country[[#This Row],[ic_solar]]+Data_country[[#This Row],[ic_bio]]+Data_country[[#This Row],[ic_other_re]]</f>
        <v>54.97</v>
      </c>
      <c r="AD16" s="24">
        <v>32.450000000000003</v>
      </c>
      <c r="AE16" s="24">
        <v>3.49</v>
      </c>
      <c r="AF16" s="24">
        <v>28.96</v>
      </c>
      <c r="AG16" s="24">
        <v>0</v>
      </c>
      <c r="AH16" s="24">
        <v>0</v>
      </c>
      <c r="AI16" s="24">
        <v>22.52</v>
      </c>
      <c r="AJ16" s="24">
        <v>0.98</v>
      </c>
      <c r="AK16" s="24">
        <v>8.15</v>
      </c>
      <c r="AL16" s="24">
        <v>12.17</v>
      </c>
      <c r="AM16" s="24">
        <v>1.17</v>
      </c>
      <c r="AN16" s="24">
        <v>0.05</v>
      </c>
      <c r="AO16" s="25">
        <f>Data_country[[#This Row],[ic_fossil]]/Data_country[[#This Row],[ic_total]]*100</f>
        <v>59.032199381480808</v>
      </c>
      <c r="AP16" s="25">
        <f>Data_country[[#This Row],[ic_gas]]/Data_country[[#This Row],[ic_total]]*100</f>
        <v>6.3489175914134988</v>
      </c>
      <c r="AQ16" s="25">
        <f>Data_country[[#This Row],[ic_coal]]/Data_country[[#This Row],[ic_total]]*100</f>
        <v>52.683281790067312</v>
      </c>
      <c r="AR16" s="25">
        <f>Data_country[[#This Row],[ic_other_fossil]]/Data_country[[#This Row],[ic_total]]*100</f>
        <v>0</v>
      </c>
      <c r="AS16" s="25">
        <f>Data_country[[#This Row],[ic_nuc]]/Data_country[[#This Row],[ic_total]]*100</f>
        <v>0</v>
      </c>
      <c r="AT16" s="25">
        <f>Data_country[[#This Row],[ic_re]]/Data_country[[#This Row],[ic_total]]*100</f>
        <v>40.967800618519192</v>
      </c>
      <c r="AU16" s="25">
        <f>Data_country[[#This Row],[ic_h2o]]/Data_country[[#This Row],[ic_total]]*100</f>
        <v>1.78279061306167</v>
      </c>
      <c r="AV16" s="25">
        <f>Data_country[[#This Row],[ic_wind]]/Data_country[[#This Row],[ic_total]]*100</f>
        <v>14.826268873931237</v>
      </c>
      <c r="AW16" s="25">
        <f>Data_country[[#This Row],[ic_solar]]/Data_country[[#This Row],[ic_total]]*100</f>
        <v>22.139348735674005</v>
      </c>
      <c r="AX16" s="25">
        <f>Data_country[[#This Row],[ic_bio]]/Data_country[[#This Row],[ic_total]]*100</f>
        <v>2.1284336911042385</v>
      </c>
      <c r="AY16" s="25">
        <f>Data_country[[#This Row],[ic_other_re]]/Data_country[[#This Row],[ic_total]]*100</f>
        <v>9.0958704748044392E-2</v>
      </c>
      <c r="AZ16" s="24">
        <v>178.55</v>
      </c>
      <c r="BA16" s="24">
        <v>140.91</v>
      </c>
      <c r="BB16" s="24">
        <v>11.36</v>
      </c>
      <c r="BC16" s="24">
        <v>124.73</v>
      </c>
      <c r="BD16" s="24">
        <v>4.82</v>
      </c>
      <c r="BE16" s="24">
        <v>0</v>
      </c>
      <c r="BF16" s="24">
        <v>37.64</v>
      </c>
      <c r="BG16" s="24">
        <v>1.97</v>
      </c>
      <c r="BH16" s="24">
        <v>19.73</v>
      </c>
      <c r="BI16" s="24">
        <v>8.31</v>
      </c>
      <c r="BJ16" s="24">
        <v>7.63</v>
      </c>
      <c r="BK16" s="24">
        <v>0</v>
      </c>
      <c r="BL16" s="25">
        <f>Data_country[[#This Row],[gen_fossil]]/Data_country[[#This Row],[gen_total]]*100</f>
        <v>78.919070288434597</v>
      </c>
      <c r="BM16" s="25">
        <f>Data_country[[#This Row],[gen_gas]]/Data_country[[#This Row],[gen_total]]*100</f>
        <v>6.3623634836180329</v>
      </c>
      <c r="BN16" s="25">
        <f>Data_country[[#This Row],[gen_coal]]/Data_country[[#This Row],[gen_total]]*100</f>
        <v>69.857182861943429</v>
      </c>
      <c r="BO16" s="25">
        <f>Data_country[[#This Row],[gen_other_fossil]]/Data_country[[#This Row],[gen_total]]*100</f>
        <v>2.6995239428731446</v>
      </c>
      <c r="BP16" s="25">
        <f>Data_country[[#This Row],[gen_nuc]]/Data_country[[#This Row],[gen_total]]*100</f>
        <v>0</v>
      </c>
      <c r="BQ16" s="25">
        <f>Data_country[[#This Row],[gen_re]]/Data_country[[#This Row],[gen_total]]*100</f>
        <v>21.080929711565389</v>
      </c>
      <c r="BR16" s="25">
        <f>Data_country[[#This Row],[gen_h2o]]/Data_country[[#This Row],[gen_total]]*100</f>
        <v>1.1033323998879865</v>
      </c>
      <c r="BS16" s="25">
        <f>Data_country[[#This Row],[gen_wind]]/Data_country[[#This Row],[gen_total]]*100</f>
        <v>11.050126015121814</v>
      </c>
      <c r="BT16" s="25">
        <f>Data_country[[#This Row],[gen_solar]]/Data_country[[#This Row],[gen_total]]*100</f>
        <v>4.6541584990198821</v>
      </c>
      <c r="BU16" s="25">
        <f>Data_country[[#This Row],[gen_bio]]/Data_country[[#This Row],[gen_total]]*100</f>
        <v>4.2733127975357039</v>
      </c>
      <c r="BV16" s="25">
        <f>Data_country[[#This Row],[gen_other_re]]/Data_country[[#This Row],[gen_total]]*100</f>
        <v>0</v>
      </c>
    </row>
    <row r="17" spans="1:74" s="1" customFormat="1" ht="25.5" customHeight="1" x14ac:dyDescent="0.25">
      <c r="A17" s="23" t="s">
        <v>320</v>
      </c>
      <c r="B17" s="23">
        <v>2023</v>
      </c>
      <c r="C17" s="24">
        <v>811229.10068756598</v>
      </c>
      <c r="D17" s="24">
        <v>36.685848999999997</v>
      </c>
      <c r="E17" s="24">
        <f>Data_country[[#This Row],[gdp]]/Data_country[[#This Row],[population]]</f>
        <v>22112.861574705985</v>
      </c>
      <c r="F17" s="24">
        <v>299.05735898483499</v>
      </c>
      <c r="G17" s="24">
        <f>Data_country[[#This Row],[co2_total]]/Data_country[[#This Row],[population]]</f>
        <v>8.1518451156693956</v>
      </c>
      <c r="H17" s="24">
        <v>109.02</v>
      </c>
      <c r="I17" s="24">
        <f>Data_country[[#This Row],[co2_power_fossil]]/Data_country[[#This Row],[co2_total]]*100</f>
        <v>36.454545164871973</v>
      </c>
      <c r="J17" s="25">
        <f>Data_country[[#This Row],[co2_power_fossil]]/H32*100</f>
        <v>0.78678274274109561</v>
      </c>
      <c r="K17" s="25">
        <v>15.9</v>
      </c>
      <c r="L17" s="24">
        <v>4.1164154084399343</v>
      </c>
      <c r="M17" s="24">
        <v>1.4051949977874756</v>
      </c>
      <c r="N17" s="24">
        <v>0.70497769117355347</v>
      </c>
      <c r="O17" s="24">
        <v>1.5059492588043213</v>
      </c>
      <c r="P17" s="24">
        <v>0</v>
      </c>
      <c r="Q17" s="24">
        <v>2.2409403696656227E-2</v>
      </c>
      <c r="R17" s="24">
        <v>0.47788405697792768</v>
      </c>
      <c r="S17" s="24">
        <f t="shared" si="0"/>
        <v>34.136374936950922</v>
      </c>
      <c r="T17" s="24">
        <f t="shared" si="1"/>
        <v>17.126009433550596</v>
      </c>
      <c r="U17" s="24">
        <f t="shared" si="2"/>
        <v>36.583996253552449</v>
      </c>
      <c r="V17" s="24">
        <f t="shared" si="3"/>
        <v>0</v>
      </c>
      <c r="W17" s="24">
        <f t="shared" si="4"/>
        <v>0.544391211118051</v>
      </c>
      <c r="X17" s="24">
        <f t="shared" si="5"/>
        <v>11.609228164827982</v>
      </c>
      <c r="Y17" s="24">
        <v>0.12949246168136597</v>
      </c>
      <c r="Z17" s="24">
        <v>1.4841748476028442</v>
      </c>
      <c r="AA17" s="24">
        <f>(1-Data_country[[#This Row],[pro_gas]]/Data_country[[#This Row],[pricon_gas]])*100</f>
        <v>81.631693697171599</v>
      </c>
      <c r="AB17" s="24">
        <f>(1-Data_country[[#This Row],[pro_coal]]/Data_country[[#This Row],[pricon_coal]])*100</f>
        <v>1.4458927533033461</v>
      </c>
      <c r="AC17" s="24">
        <f>Data_country[[#This Row],[ic_gas]]+Data_country[[#This Row],[ic_coal]]+Data_country[[#This Row],[ic_other_fossil]]+Data_country[[#This Row],[ic_nuc]]+Data_country[[#This Row],[ic_h2o]]+Data_country[[#This Row],[ic_wind]]+Data_country[[#This Row],[ic_solar]]+Data_country[[#This Row],[ic_bio]]+Data_country[[#This Row],[ic_other_re]]</f>
        <v>59.29</v>
      </c>
      <c r="AD17" s="24">
        <v>32</v>
      </c>
      <c r="AE17" s="24">
        <v>3.49</v>
      </c>
      <c r="AF17" s="24">
        <v>28.51</v>
      </c>
      <c r="AG17" s="24">
        <v>0</v>
      </c>
      <c r="AH17" s="24">
        <v>0</v>
      </c>
      <c r="AI17" s="24">
        <v>27.29</v>
      </c>
      <c r="AJ17" s="24">
        <v>0.98</v>
      </c>
      <c r="AK17" s="24">
        <v>9.31</v>
      </c>
      <c r="AL17" s="24">
        <v>15.81</v>
      </c>
      <c r="AM17" s="24">
        <v>1.19</v>
      </c>
      <c r="AN17" s="24">
        <v>0</v>
      </c>
      <c r="AO17" s="25">
        <f>Data_country[[#This Row],[ic_fossil]]/Data_country[[#This Row],[ic_total]]*100</f>
        <v>53.972002023950068</v>
      </c>
      <c r="AP17" s="25">
        <f>Data_country[[#This Row],[ic_gas]]/Data_country[[#This Row],[ic_total]]*100</f>
        <v>5.8863214707370553</v>
      </c>
      <c r="AQ17" s="25">
        <f>Data_country[[#This Row],[ic_coal]]/Data_country[[#This Row],[ic_total]]*100</f>
        <v>48.085680553213024</v>
      </c>
      <c r="AR17" s="25">
        <f>Data_country[[#This Row],[ic_other_fossil]]/Data_country[[#This Row],[ic_total]]*100</f>
        <v>0</v>
      </c>
      <c r="AS17" s="25">
        <f>Data_country[[#This Row],[ic_nuc]]/Data_country[[#This Row],[ic_total]]*100</f>
        <v>0</v>
      </c>
      <c r="AT17" s="25">
        <f>Data_country[[#This Row],[ic_re]]/Data_country[[#This Row],[ic_total]]*100</f>
        <v>46.027997976049924</v>
      </c>
      <c r="AU17" s="25">
        <f>Data_country[[#This Row],[ic_h2o]]/Data_country[[#This Row],[ic_total]]*100</f>
        <v>1.6528925619834711</v>
      </c>
      <c r="AV17" s="25">
        <f>Data_country[[#This Row],[ic_wind]]/Data_country[[#This Row],[ic_total]]*100</f>
        <v>15.702479338842975</v>
      </c>
      <c r="AW17" s="25">
        <f>Data_country[[#This Row],[ic_solar]]/Data_country[[#This Row],[ic_total]]*100</f>
        <v>26.665542249957834</v>
      </c>
      <c r="AX17" s="25">
        <f>Data_country[[#This Row],[ic_bio]]/Data_country[[#This Row],[ic_total]]*100</f>
        <v>2.0070838252656436</v>
      </c>
      <c r="AY17" s="25">
        <f>Data_country[[#This Row],[ic_other_re]]/Data_country[[#This Row],[ic_total]]*100</f>
        <v>0</v>
      </c>
      <c r="AZ17" s="24">
        <v>168.75</v>
      </c>
      <c r="BA17" s="24">
        <v>122.94</v>
      </c>
      <c r="BB17" s="24">
        <v>14.75</v>
      </c>
      <c r="BC17" s="24">
        <v>103.02</v>
      </c>
      <c r="BD17" s="24">
        <v>5.17</v>
      </c>
      <c r="BE17" s="24">
        <v>0</v>
      </c>
      <c r="BF17" s="24">
        <v>45.81</v>
      </c>
      <c r="BG17" s="24">
        <v>2.38</v>
      </c>
      <c r="BH17" s="24">
        <v>23.06</v>
      </c>
      <c r="BI17" s="24">
        <v>12.24</v>
      </c>
      <c r="BJ17" s="24">
        <v>8.1300000000000008</v>
      </c>
      <c r="BK17" s="24">
        <v>0</v>
      </c>
      <c r="BL17" s="25">
        <f>Data_country[[#This Row],[gen_fossil]]/Data_country[[#This Row],[gen_total]]*100</f>
        <v>72.853333333333339</v>
      </c>
      <c r="BM17" s="25">
        <f>Data_country[[#This Row],[gen_gas]]/Data_country[[#This Row],[gen_total]]*100</f>
        <v>8.7407407407407405</v>
      </c>
      <c r="BN17" s="25">
        <f>Data_country[[#This Row],[gen_coal]]/Data_country[[#This Row],[gen_total]]*100</f>
        <v>61.048888888888882</v>
      </c>
      <c r="BO17" s="25">
        <f>Data_country[[#This Row],[gen_other_fossil]]/Data_country[[#This Row],[gen_total]]*100</f>
        <v>3.0637037037037036</v>
      </c>
      <c r="BP17" s="25">
        <f>Data_country[[#This Row],[gen_nuc]]/Data_country[[#This Row],[gen_total]]*100</f>
        <v>0</v>
      </c>
      <c r="BQ17" s="25">
        <f>Data_country[[#This Row],[gen_re]]/Data_country[[#This Row],[gen_total]]*100</f>
        <v>27.146666666666668</v>
      </c>
      <c r="BR17" s="25">
        <f>Data_country[[#This Row],[gen_h2o]]/Data_country[[#This Row],[gen_total]]*100</f>
        <v>1.4103703703703703</v>
      </c>
      <c r="BS17" s="25">
        <f>Data_country[[#This Row],[gen_wind]]/Data_country[[#This Row],[gen_total]]*100</f>
        <v>13.665185185185186</v>
      </c>
      <c r="BT17" s="25">
        <f>Data_country[[#This Row],[gen_solar]]/Data_country[[#This Row],[gen_total]]*100</f>
        <v>7.2533333333333339</v>
      </c>
      <c r="BU17" s="25">
        <f>Data_country[[#This Row],[gen_bio]]/Data_country[[#This Row],[gen_total]]*100</f>
        <v>4.8177777777777786</v>
      </c>
      <c r="BV17" s="25">
        <f>Data_country[[#This Row],[gen_other_re]]/Data_country[[#This Row],[gen_total]]*100</f>
        <v>0</v>
      </c>
    </row>
    <row r="18" spans="1:74" s="1" customFormat="1" ht="25.5" customHeight="1" x14ac:dyDescent="0.25">
      <c r="A18" s="23" t="s">
        <v>321</v>
      </c>
      <c r="B18" s="23">
        <v>2021</v>
      </c>
      <c r="C18" s="24">
        <v>420117.81246604101</v>
      </c>
      <c r="D18" s="24">
        <v>59.392254999999999</v>
      </c>
      <c r="E18" s="24">
        <f>Data_country[[#This Row],[gdp]]/Data_country[[#This Row],[population]]</f>
        <v>7073.6127541552514</v>
      </c>
      <c r="F18" s="24">
        <v>479.88568119073199</v>
      </c>
      <c r="G18" s="24">
        <f>Data_country[[#This Row],[co2_total]]/Data_country[[#This Row],[population]]</f>
        <v>8.0799370421401235</v>
      </c>
      <c r="H18" s="24">
        <v>181.28</v>
      </c>
      <c r="I18" s="24">
        <f>Data_country[[#This Row],[co2_power_fossil]]/Data_country[[#This Row],[co2_total]]*100</f>
        <v>37.775663476808283</v>
      </c>
      <c r="J18" s="25">
        <f>Data_country[[#This Row],[co2_power_fossil]]/H30*100</f>
        <v>1.3433173149956095</v>
      </c>
      <c r="K18" s="25">
        <v>27.2</v>
      </c>
      <c r="L18" s="24">
        <v>5.0619328306056559</v>
      </c>
      <c r="M18" s="24">
        <v>1.039786696434021</v>
      </c>
      <c r="N18" s="24">
        <v>0.15189190208911896</v>
      </c>
      <c r="O18" s="24">
        <v>3.5861508846282959</v>
      </c>
      <c r="P18" s="24">
        <v>0.11168215423822403</v>
      </c>
      <c r="Q18" s="24">
        <v>1.9009634852409363E-2</v>
      </c>
      <c r="R18" s="24">
        <v>0.15341155836358666</v>
      </c>
      <c r="S18" s="24">
        <f t="shared" si="0"/>
        <v>20.541297785447131</v>
      </c>
      <c r="T18" s="24">
        <f t="shared" si="1"/>
        <v>3.0006700438762088</v>
      </c>
      <c r="U18" s="24">
        <f t="shared" si="2"/>
        <v>70.845485403235102</v>
      </c>
      <c r="V18" s="24">
        <f t="shared" si="3"/>
        <v>2.2063144252520899</v>
      </c>
      <c r="W18" s="24">
        <f t="shared" si="4"/>
        <v>0.37554103320914428</v>
      </c>
      <c r="X18" s="24">
        <f t="shared" si="5"/>
        <v>3.0306913089803111</v>
      </c>
      <c r="Y18" s="24"/>
      <c r="Z18" s="24">
        <v>5.5322937965393066</v>
      </c>
      <c r="AA18" s="24"/>
      <c r="AB18" s="24">
        <f>(1-Data_country[[#This Row],[pro_coal]]/Data_country[[#This Row],[pricon_coal]])*100</f>
        <v>-54.268294182851371</v>
      </c>
      <c r="AC18" s="24">
        <f>Data_country[[#This Row],[ic_gas]]+Data_country[[#This Row],[ic_coal]]+Data_country[[#This Row],[ic_other_fossil]]+Data_country[[#This Row],[ic_nuc]]+Data_country[[#This Row],[ic_h2o]]+Data_country[[#This Row],[ic_wind]]+Data_country[[#This Row],[ic_solar]]+Data_country[[#This Row],[ic_bio]]+Data_country[[#This Row],[ic_other_re]]</f>
        <v>61.730000000000004</v>
      </c>
      <c r="AD18" s="24">
        <v>49.98</v>
      </c>
      <c r="AE18" s="24">
        <v>1.29</v>
      </c>
      <c r="AF18" s="24">
        <v>46.27</v>
      </c>
      <c r="AG18" s="24">
        <v>2.42</v>
      </c>
      <c r="AH18" s="24">
        <v>1.93</v>
      </c>
      <c r="AI18" s="24">
        <v>9.82</v>
      </c>
      <c r="AJ18" s="24">
        <v>0.75</v>
      </c>
      <c r="AK18" s="24">
        <v>2.4900000000000002</v>
      </c>
      <c r="AL18" s="24">
        <v>6.32</v>
      </c>
      <c r="AM18" s="24">
        <v>0.26</v>
      </c>
      <c r="AN18" s="24">
        <v>0</v>
      </c>
      <c r="AO18" s="25">
        <f>Data_country[[#This Row],[ic_fossil]]/Data_country[[#This Row],[ic_total]]*100</f>
        <v>80.965494897132658</v>
      </c>
      <c r="AP18" s="25">
        <f>Data_country[[#This Row],[ic_gas]]/Data_country[[#This Row],[ic_total]]*100</f>
        <v>2.0897456666126679</v>
      </c>
      <c r="AQ18" s="25">
        <f>Data_country[[#This Row],[ic_coal]]/Data_country[[#This Row],[ic_total]]*100</f>
        <v>74.955451158269881</v>
      </c>
      <c r="AR18" s="25">
        <f>Data_country[[#This Row],[ic_other_fossil]]/Data_country[[#This Row],[ic_total]]*100</f>
        <v>3.9202980722501208</v>
      </c>
      <c r="AS18" s="25">
        <f>Data_country[[#This Row],[ic_nuc]]/Data_country[[#This Row],[ic_total]]*100</f>
        <v>3.1265187105135261</v>
      </c>
      <c r="AT18" s="25">
        <f>Data_country[[#This Row],[ic_re]]/Data_country[[#This Row],[ic_total]]*100</f>
        <v>15.907986392353799</v>
      </c>
      <c r="AU18" s="25">
        <f>Data_country[[#This Row],[ic_h2o]]/Data_country[[#This Row],[ic_total]]*100</f>
        <v>1.2149684108213186</v>
      </c>
      <c r="AV18" s="25">
        <f>Data_country[[#This Row],[ic_wind]]/Data_country[[#This Row],[ic_total]]*100</f>
        <v>4.033695123926778</v>
      </c>
      <c r="AW18" s="25">
        <f>Data_country[[#This Row],[ic_solar]]/Data_country[[#This Row],[ic_total]]*100</f>
        <v>10.238133808520979</v>
      </c>
      <c r="AX18" s="25">
        <f>Data_country[[#This Row],[ic_bio]]/Data_country[[#This Row],[ic_total]]*100</f>
        <v>0.42118904908472382</v>
      </c>
      <c r="AY18" s="25">
        <f>Data_country[[#This Row],[ic_other_re]]/Data_country[[#This Row],[ic_total]]*100</f>
        <v>0</v>
      </c>
      <c r="AZ18" s="24">
        <v>244.31</v>
      </c>
      <c r="BA18" s="24">
        <v>214.1</v>
      </c>
      <c r="BB18" s="24">
        <v>0</v>
      </c>
      <c r="BC18" s="24">
        <v>210.83</v>
      </c>
      <c r="BD18" s="24">
        <v>3.27</v>
      </c>
      <c r="BE18" s="24">
        <v>12.35</v>
      </c>
      <c r="BF18" s="24">
        <v>17.86</v>
      </c>
      <c r="BG18" s="24">
        <v>2.02</v>
      </c>
      <c r="BH18" s="24">
        <v>8.65</v>
      </c>
      <c r="BI18" s="24">
        <v>6.78</v>
      </c>
      <c r="BJ18" s="24">
        <v>0.41</v>
      </c>
      <c r="BK18" s="24">
        <v>0</v>
      </c>
      <c r="BL18" s="25">
        <f>Data_country[[#This Row],[gen_fossil]]/Data_country[[#This Row],[gen_total]]*100</f>
        <v>87.634562645818832</v>
      </c>
      <c r="BM18" s="25">
        <f>Data_country[[#This Row],[gen_gas]]/Data_country[[#This Row],[gen_total]]*100</f>
        <v>0</v>
      </c>
      <c r="BN18" s="25">
        <f>Data_country[[#This Row],[gen_coal]]/Data_country[[#This Row],[gen_total]]*100</f>
        <v>86.296099218206379</v>
      </c>
      <c r="BO18" s="25">
        <f>Data_country[[#This Row],[gen_other_fossil]]/Data_country[[#This Row],[gen_total]]*100</f>
        <v>1.3384634276124596</v>
      </c>
      <c r="BP18" s="25">
        <f>Data_country[[#This Row],[gen_nuc]]/Data_country[[#This Row],[gen_total]]*100</f>
        <v>5.0550530064262613</v>
      </c>
      <c r="BQ18" s="25">
        <f>Data_country[[#This Row],[gen_re]]/Data_country[[#This Row],[gen_total]]*100</f>
        <v>7.3103843477549013</v>
      </c>
      <c r="BR18" s="25">
        <f>Data_country[[#This Row],[gen_h2o]]/Data_country[[#This Row],[gen_total]]*100</f>
        <v>0.82681838647619821</v>
      </c>
      <c r="BS18" s="25">
        <f>Data_country[[#This Row],[gen_wind]]/Data_country[[#This Row],[gen_total]]*100</f>
        <v>3.5405836846629284</v>
      </c>
      <c r="BT18" s="25">
        <f>Data_country[[#This Row],[gen_solar]]/Data_country[[#This Row],[gen_total]]*100</f>
        <v>2.7751627031230814</v>
      </c>
      <c r="BU18" s="25">
        <f>Data_country[[#This Row],[gen_bio]]/Data_country[[#This Row],[gen_total]]*100</f>
        <v>0.16781957349269369</v>
      </c>
      <c r="BV18" s="25">
        <f>Data_country[[#This Row],[gen_other_re]]/Data_country[[#This Row],[gen_total]]*100</f>
        <v>0</v>
      </c>
    </row>
    <row r="19" spans="1:74" s="1" customFormat="1" ht="25.5" customHeight="1" x14ac:dyDescent="0.25">
      <c r="A19" s="23" t="s">
        <v>321</v>
      </c>
      <c r="B19" s="23">
        <v>2022</v>
      </c>
      <c r="C19" s="24">
        <v>405270.85009873798</v>
      </c>
      <c r="D19" s="24">
        <v>59.893884999999997</v>
      </c>
      <c r="E19" s="24">
        <f>Data_country[[#This Row],[gdp]]/Data_country[[#This Row],[population]]</f>
        <v>6766.4812542839391</v>
      </c>
      <c r="F19" s="24">
        <v>461.65922517256701</v>
      </c>
      <c r="G19" s="24">
        <f>Data_country[[#This Row],[co2_total]]/Data_country[[#This Row],[population]]</f>
        <v>7.7079525760028265</v>
      </c>
      <c r="H19" s="24">
        <v>173.42</v>
      </c>
      <c r="I19" s="24">
        <f>Data_country[[#This Row],[co2_power_fossil]]/Data_country[[#This Row],[co2_total]]*100</f>
        <v>37.564504410190445</v>
      </c>
      <c r="J19" s="25">
        <f>Data_country[[#This Row],[co2_power_fossil]]/H31*100</f>
        <v>1.2685756503992185</v>
      </c>
      <c r="K19" s="25">
        <v>26.3</v>
      </c>
      <c r="L19" s="24">
        <v>4.8717549734283239</v>
      </c>
      <c r="M19" s="24">
        <v>1.0627915859222412</v>
      </c>
      <c r="N19" s="24">
        <v>0.15372540056705475</v>
      </c>
      <c r="O19" s="24">
        <v>3.378741979598999</v>
      </c>
      <c r="P19" s="24">
        <v>9.0965300798416138E-2</v>
      </c>
      <c r="Q19" s="24">
        <v>2.9095623642206192E-2</v>
      </c>
      <c r="R19" s="24">
        <v>0.15643508289940655</v>
      </c>
      <c r="S19" s="24">
        <f t="shared" si="0"/>
        <v>21.815374371637159</v>
      </c>
      <c r="T19" s="24">
        <f t="shared" si="1"/>
        <v>3.1554419589143659</v>
      </c>
      <c r="U19" s="24">
        <f t="shared" si="2"/>
        <v>69.353692827891336</v>
      </c>
      <c r="V19" s="24">
        <f t="shared" si="3"/>
        <v>1.8671977817965373</v>
      </c>
      <c r="W19" s="24">
        <f t="shared" si="4"/>
        <v>0.59723085009201893</v>
      </c>
      <c r="X19" s="24">
        <f t="shared" si="5"/>
        <v>3.2110622096685817</v>
      </c>
      <c r="Y19" s="24"/>
      <c r="Z19" s="24">
        <v>5.4424886703491211</v>
      </c>
      <c r="AA19" s="24"/>
      <c r="AB19" s="24">
        <f>(1-Data_country[[#This Row],[pro_coal]]/Data_country[[#This Row],[pricon_coal]])*100</f>
        <v>-61.080328217162496</v>
      </c>
      <c r="AC19" s="24">
        <f>Data_country[[#This Row],[ic_gas]]+Data_country[[#This Row],[ic_coal]]+Data_country[[#This Row],[ic_other_fossil]]+Data_country[[#This Row],[ic_nuc]]+Data_country[[#This Row],[ic_h2o]]+Data_country[[#This Row],[ic_wind]]+Data_country[[#This Row],[ic_solar]]+Data_country[[#This Row],[ic_bio]]+Data_country[[#This Row],[ic_other_re]]</f>
        <v>62.04</v>
      </c>
      <c r="AD19" s="24">
        <v>49.6</v>
      </c>
      <c r="AE19" s="24">
        <v>1.29</v>
      </c>
      <c r="AF19" s="24">
        <v>45.89</v>
      </c>
      <c r="AG19" s="24">
        <v>2.42</v>
      </c>
      <c r="AH19" s="24">
        <v>1.94</v>
      </c>
      <c r="AI19" s="24">
        <v>10.5</v>
      </c>
      <c r="AJ19" s="24">
        <v>0.75</v>
      </c>
      <c r="AK19" s="24">
        <v>3.16</v>
      </c>
      <c r="AL19" s="24">
        <v>6.33</v>
      </c>
      <c r="AM19" s="24">
        <v>0.26</v>
      </c>
      <c r="AN19" s="24">
        <v>0</v>
      </c>
      <c r="AO19" s="25">
        <f>Data_country[[#This Row],[ic_fossil]]/Data_country[[#This Row],[ic_total]]*100</f>
        <v>79.948420373952288</v>
      </c>
      <c r="AP19" s="25">
        <f>Data_country[[#This Row],[ic_gas]]/Data_country[[#This Row],[ic_total]]*100</f>
        <v>2.0793036750483562</v>
      </c>
      <c r="AQ19" s="25">
        <f>Data_country[[#This Row],[ic_coal]]/Data_country[[#This Row],[ic_total]]*100</f>
        <v>73.96840747904578</v>
      </c>
      <c r="AR19" s="25">
        <f>Data_country[[#This Row],[ic_other_fossil]]/Data_country[[#This Row],[ic_total]]*100</f>
        <v>3.9007092198581561</v>
      </c>
      <c r="AS19" s="25">
        <f>Data_country[[#This Row],[ic_nuc]]/Data_country[[#This Row],[ic_total]]*100</f>
        <v>3.1270148291424888</v>
      </c>
      <c r="AT19" s="25">
        <f>Data_country[[#This Row],[ic_re]]/Data_country[[#This Row],[ic_total]]*100</f>
        <v>16.924564796905223</v>
      </c>
      <c r="AU19" s="25">
        <f>Data_country[[#This Row],[ic_h2o]]/Data_country[[#This Row],[ic_total]]*100</f>
        <v>1.2088974854932302</v>
      </c>
      <c r="AV19" s="25">
        <f>Data_country[[#This Row],[ic_wind]]/Data_country[[#This Row],[ic_total]]*100</f>
        <v>5.0934880722114766</v>
      </c>
      <c r="AW19" s="25">
        <f>Data_country[[#This Row],[ic_solar]]/Data_country[[#This Row],[ic_total]]*100</f>
        <v>10.203094777562862</v>
      </c>
      <c r="AX19" s="25">
        <f>Data_country[[#This Row],[ic_bio]]/Data_country[[#This Row],[ic_total]]*100</f>
        <v>0.41908446163765312</v>
      </c>
      <c r="AY19" s="25">
        <f>Data_country[[#This Row],[ic_other_re]]/Data_country[[#This Row],[ic_total]]*100</f>
        <v>0</v>
      </c>
      <c r="AZ19" s="24">
        <v>238.72</v>
      </c>
      <c r="BA19" s="24">
        <v>205.28</v>
      </c>
      <c r="BB19" s="24">
        <v>0</v>
      </c>
      <c r="BC19" s="24">
        <v>201.6</v>
      </c>
      <c r="BD19" s="24">
        <v>3.68</v>
      </c>
      <c r="BE19" s="24">
        <v>10.1</v>
      </c>
      <c r="BF19" s="24">
        <v>23.34</v>
      </c>
      <c r="BG19" s="24">
        <v>3.1</v>
      </c>
      <c r="BH19" s="24">
        <v>9.6999999999999993</v>
      </c>
      <c r="BI19" s="24">
        <v>10.130000000000001</v>
      </c>
      <c r="BJ19" s="24">
        <v>0.41</v>
      </c>
      <c r="BK19" s="24">
        <v>0</v>
      </c>
      <c r="BL19" s="25">
        <f>Data_country[[#This Row],[gen_fossil]]/Data_country[[#This Row],[gen_total]]*100</f>
        <v>85.991957104557642</v>
      </c>
      <c r="BM19" s="25">
        <f>Data_country[[#This Row],[gen_gas]]/Data_country[[#This Row],[gen_total]]*100</f>
        <v>0</v>
      </c>
      <c r="BN19" s="25">
        <f>Data_country[[#This Row],[gen_coal]]/Data_country[[#This Row],[gen_total]]*100</f>
        <v>84.450402144772113</v>
      </c>
      <c r="BO19" s="25">
        <f>Data_country[[#This Row],[gen_other_fossil]]/Data_country[[#This Row],[gen_total]]*100</f>
        <v>1.5415549597855229</v>
      </c>
      <c r="BP19" s="25">
        <f>Data_country[[#This Row],[gen_nuc]]/Data_country[[#This Row],[gen_total]]*100</f>
        <v>4.2308981233243967</v>
      </c>
      <c r="BQ19" s="25">
        <f>Data_country[[#This Row],[gen_re]]/Data_country[[#This Row],[gen_total]]*100</f>
        <v>9.7771447721179623</v>
      </c>
      <c r="BR19" s="25">
        <f>Data_country[[#This Row],[gen_h2o]]/Data_country[[#This Row],[gen_total]]*100</f>
        <v>1.2985924932975872</v>
      </c>
      <c r="BS19" s="25">
        <f>Data_country[[#This Row],[gen_wind]]/Data_country[[#This Row],[gen_total]]*100</f>
        <v>4.0633378016085793</v>
      </c>
      <c r="BT19" s="25">
        <f>Data_country[[#This Row],[gen_solar]]/Data_country[[#This Row],[gen_total]]*100</f>
        <v>4.2434651474530831</v>
      </c>
      <c r="BU19" s="25">
        <f>Data_country[[#This Row],[gen_bio]]/Data_country[[#This Row],[gen_total]]*100</f>
        <v>0.17174932975871313</v>
      </c>
      <c r="BV19" s="25">
        <f>Data_country[[#This Row],[gen_other_re]]/Data_country[[#This Row],[gen_total]]*100</f>
        <v>0</v>
      </c>
    </row>
    <row r="20" spans="1:74" s="1" customFormat="1" ht="25.5" customHeight="1" x14ac:dyDescent="0.25">
      <c r="A20" s="23" t="s">
        <v>321</v>
      </c>
      <c r="B20" s="23">
        <v>2023</v>
      </c>
      <c r="C20" s="24">
        <v>377781.60098587302</v>
      </c>
      <c r="D20" s="24">
        <v>60.414495000000002</v>
      </c>
      <c r="E20" s="24">
        <f>Data_country[[#This Row],[gdp]]/Data_country[[#This Row],[population]]</f>
        <v>6253.1616127201432</v>
      </c>
      <c r="F20" s="24">
        <v>478.101499191747</v>
      </c>
      <c r="G20" s="24">
        <f>Data_country[[#This Row],[co2_total]]/Data_country[[#This Row],[population]]</f>
        <v>7.9136885807246582</v>
      </c>
      <c r="H20" s="24">
        <v>164.74</v>
      </c>
      <c r="I20" s="24">
        <f>Data_country[[#This Row],[co2_power_fossil]]/Data_country[[#This Row],[co2_total]]*100</f>
        <v>34.457118473483291</v>
      </c>
      <c r="J20" s="25">
        <f>Data_country[[#This Row],[co2_power_fossil]]/H32*100</f>
        <v>1.188906522098405</v>
      </c>
      <c r="K20" s="25">
        <v>24.8</v>
      </c>
      <c r="L20" s="24">
        <v>4.8530986264813691</v>
      </c>
      <c r="M20" s="24">
        <v>1.0858902931213379</v>
      </c>
      <c r="N20" s="24">
        <v>0.17091180384159088</v>
      </c>
      <c r="O20" s="24">
        <v>3.3252930641174316</v>
      </c>
      <c r="P20" s="24">
        <v>7.9889111220836639E-2</v>
      </c>
      <c r="Q20" s="24">
        <v>1.5761157497763634E-2</v>
      </c>
      <c r="R20" s="24">
        <v>0.17535319668240845</v>
      </c>
      <c r="S20" s="24">
        <f t="shared" si="0"/>
        <v>22.375195245282669</v>
      </c>
      <c r="T20" s="24">
        <f t="shared" si="1"/>
        <v>3.5217047292011592</v>
      </c>
      <c r="U20" s="24">
        <f t="shared" si="2"/>
        <v>68.518967365976678</v>
      </c>
      <c r="V20" s="24">
        <f t="shared" si="3"/>
        <v>1.646146459602418</v>
      </c>
      <c r="W20" s="24">
        <f t="shared" si="4"/>
        <v>0.32476482987099126</v>
      </c>
      <c r="X20" s="24">
        <f t="shared" si="5"/>
        <v>3.6132213700660847</v>
      </c>
      <c r="Y20" s="24"/>
      <c r="Z20" s="24">
        <v>5.4088521003723145</v>
      </c>
      <c r="AA20" s="24"/>
      <c r="AB20" s="24">
        <f>(1-Data_country[[#This Row],[pro_coal]]/Data_country[[#This Row],[pricon_coal]])*100</f>
        <v>-62.657907019930036</v>
      </c>
      <c r="AC20" s="24">
        <f>Data_country[[#This Row],[ic_gas]]+Data_country[[#This Row],[ic_coal]]+Data_country[[#This Row],[ic_other_fossil]]+Data_country[[#This Row],[ic_nuc]]+Data_country[[#This Row],[ic_h2o]]+Data_country[[#This Row],[ic_wind]]+Data_country[[#This Row],[ic_solar]]+Data_country[[#This Row],[ic_bio]]+Data_country[[#This Row],[ic_other_re]]</f>
        <v>62.139999999999993</v>
      </c>
      <c r="AD20" s="24">
        <v>49.6</v>
      </c>
      <c r="AE20" s="24">
        <v>1.29</v>
      </c>
      <c r="AF20" s="24">
        <v>45.89</v>
      </c>
      <c r="AG20" s="24">
        <v>2.42</v>
      </c>
      <c r="AH20" s="24">
        <v>1.93</v>
      </c>
      <c r="AI20" s="24">
        <v>10.61</v>
      </c>
      <c r="AJ20" s="24">
        <v>0.75</v>
      </c>
      <c r="AK20" s="24">
        <v>3.44</v>
      </c>
      <c r="AL20" s="24">
        <v>6.16</v>
      </c>
      <c r="AM20" s="24">
        <v>0.26</v>
      </c>
      <c r="AN20" s="24">
        <v>0</v>
      </c>
      <c r="AO20" s="25">
        <f>Data_country[[#This Row],[ic_fossil]]/Data_country[[#This Row],[ic_total]]*100</f>
        <v>79.819761828130041</v>
      </c>
      <c r="AP20" s="25">
        <f>Data_country[[#This Row],[ic_gas]]/Data_country[[#This Row],[ic_total]]*100</f>
        <v>2.0759575152880596</v>
      </c>
      <c r="AQ20" s="25">
        <f>Data_country[[#This Row],[ic_coal]]/Data_country[[#This Row],[ic_total]]*100</f>
        <v>73.849372384937254</v>
      </c>
      <c r="AR20" s="25">
        <f>Data_country[[#This Row],[ic_other_fossil]]/Data_country[[#This Row],[ic_total]]*100</f>
        <v>3.8944319279047317</v>
      </c>
      <c r="AS20" s="25">
        <f>Data_country[[#This Row],[ic_nuc]]/Data_country[[#This Row],[ic_total]]*100</f>
        <v>3.1058899259736079</v>
      </c>
      <c r="AT20" s="25">
        <f>Data_country[[#This Row],[ic_re]]/Data_country[[#This Row],[ic_total]]*100</f>
        <v>17.074348245896363</v>
      </c>
      <c r="AU20" s="25">
        <f>Data_country[[#This Row],[ic_h2o]]/Data_country[[#This Row],[ic_total]]*100</f>
        <v>1.2069520437721275</v>
      </c>
      <c r="AV20" s="25">
        <f>Data_country[[#This Row],[ic_wind]]/Data_country[[#This Row],[ic_total]]*100</f>
        <v>5.535886707434825</v>
      </c>
      <c r="AW20" s="25">
        <f>Data_country[[#This Row],[ic_solar]]/Data_country[[#This Row],[ic_total]]*100</f>
        <v>9.9130994528484084</v>
      </c>
      <c r="AX20" s="25">
        <f>Data_country[[#This Row],[ic_bio]]/Data_country[[#This Row],[ic_total]]*100</f>
        <v>0.41841004184100422</v>
      </c>
      <c r="AY20" s="25">
        <f>Data_country[[#This Row],[ic_other_re]]/Data_country[[#This Row],[ic_total]]*100</f>
        <v>0</v>
      </c>
      <c r="AZ20" s="24">
        <v>233.58</v>
      </c>
      <c r="BA20" s="24">
        <v>195.43</v>
      </c>
      <c r="BB20" s="24">
        <v>0</v>
      </c>
      <c r="BC20" s="24">
        <v>190.54</v>
      </c>
      <c r="BD20" s="24">
        <v>4.8899999999999997</v>
      </c>
      <c r="BE20" s="24">
        <v>8.9</v>
      </c>
      <c r="BF20" s="24">
        <v>29.25</v>
      </c>
      <c r="BG20" s="24">
        <v>1.69</v>
      </c>
      <c r="BH20" s="24">
        <v>11.58</v>
      </c>
      <c r="BI20" s="24">
        <v>15.57</v>
      </c>
      <c r="BJ20" s="24">
        <v>0.41</v>
      </c>
      <c r="BK20" s="24">
        <v>0</v>
      </c>
      <c r="BL20" s="25">
        <f>Data_country[[#This Row],[gen_fossil]]/Data_country[[#This Row],[gen_total]]*100</f>
        <v>83.667266033050765</v>
      </c>
      <c r="BM20" s="25">
        <f>Data_country[[#This Row],[gen_gas]]/Data_country[[#This Row],[gen_total]]*100</f>
        <v>0</v>
      </c>
      <c r="BN20" s="25">
        <f>Data_country[[#This Row],[gen_coal]]/Data_country[[#This Row],[gen_total]]*100</f>
        <v>81.573764877129889</v>
      </c>
      <c r="BO20" s="25">
        <f>Data_country[[#This Row],[gen_other_fossil]]/Data_country[[#This Row],[gen_total]]*100</f>
        <v>2.0935011559208836</v>
      </c>
      <c r="BP20" s="25">
        <f>Data_country[[#This Row],[gen_nuc]]/Data_country[[#This Row],[gen_total]]*100</f>
        <v>3.8102577275451668</v>
      </c>
      <c r="BQ20" s="25">
        <f>Data_country[[#This Row],[gen_re]]/Data_country[[#This Row],[gen_total]]*100</f>
        <v>12.522476239404057</v>
      </c>
      <c r="BR20" s="25">
        <f>Data_country[[#This Row],[gen_h2o]]/Data_country[[#This Row],[gen_total]]*100</f>
        <v>0.72352084938779004</v>
      </c>
      <c r="BS20" s="25">
        <f>Data_country[[#This Row],[gen_wind]]/Data_country[[#This Row],[gen_total]]*100</f>
        <v>4.9576162342666317</v>
      </c>
      <c r="BT20" s="25">
        <f>Data_country[[#This Row],[gen_solar]]/Data_country[[#This Row],[gen_total]]*100</f>
        <v>6.6658104289750835</v>
      </c>
      <c r="BU20" s="25">
        <f>Data_country[[#This Row],[gen_bio]]/Data_country[[#This Row],[gen_total]]*100</f>
        <v>0.17552872677455258</v>
      </c>
      <c r="BV20" s="25">
        <f>Data_country[[#This Row],[gen_other_re]]/Data_country[[#This Row],[gen_total]]*100</f>
        <v>0</v>
      </c>
    </row>
    <row r="21" spans="1:74" s="1" customFormat="1" ht="25.4" customHeight="1" x14ac:dyDescent="0.25">
      <c r="A21" s="23" t="s">
        <v>322</v>
      </c>
      <c r="B21" s="23">
        <v>2021</v>
      </c>
      <c r="C21" s="24">
        <v>1818432.1068800399</v>
      </c>
      <c r="D21" s="24">
        <v>51.769539000000002</v>
      </c>
      <c r="E21" s="24">
        <f>Data_country[[#This Row],[gdp]]/Data_country[[#This Row],[population]]</f>
        <v>35125.52249847231</v>
      </c>
      <c r="F21" s="24">
        <v>626.95217388868298</v>
      </c>
      <c r="G21" s="24">
        <f>Data_country[[#This Row],[co2_total]]/Data_country[[#This Row],[population]]</f>
        <v>12.110445369982587</v>
      </c>
      <c r="H21" s="24">
        <v>273.31</v>
      </c>
      <c r="I21" s="24">
        <f>Data_country[[#This Row],[co2_power_fossil]]/Data_country[[#This Row],[co2_total]]*100</f>
        <v>43.593436849383494</v>
      </c>
      <c r="J21" s="25">
        <f>Data_country[[#This Row],[co2_power_fossil]]/H30*100</f>
        <v>2.0252761218085285</v>
      </c>
      <c r="K21" s="25">
        <v>25.3</v>
      </c>
      <c r="L21" s="24">
        <v>12.623429574072361</v>
      </c>
      <c r="M21" s="24">
        <v>5.3979640007019043</v>
      </c>
      <c r="N21" s="24">
        <v>2.2466661930084229</v>
      </c>
      <c r="O21" s="24">
        <v>3.0367457866668701</v>
      </c>
      <c r="P21" s="24">
        <v>1.4283674955368042</v>
      </c>
      <c r="Q21" s="24">
        <v>2.877352200448513E-2</v>
      </c>
      <c r="R21" s="24">
        <v>0.4849125761538744</v>
      </c>
      <c r="S21" s="24">
        <f>M21/L21*100</f>
        <v>42.761469607189348</v>
      </c>
      <c r="T21" s="24">
        <f>N21/L21*100</f>
        <v>17.797589631449426</v>
      </c>
      <c r="U21" s="24">
        <f>O21/L21*100</f>
        <v>24.056424356374063</v>
      </c>
      <c r="V21" s="24">
        <f>P21/L21*100</f>
        <v>11.315209445700642</v>
      </c>
      <c r="W21" s="24">
        <f>Q21/L21*100</f>
        <v>0.2279374383613145</v>
      </c>
      <c r="X21" s="24">
        <f>R21/L21*100</f>
        <v>3.8413695209252072</v>
      </c>
      <c r="Y21" s="24"/>
      <c r="Z21" s="24">
        <v>1.7783600836992264E-2</v>
      </c>
      <c r="AA21" s="24"/>
      <c r="AB21" s="24">
        <f>(1-Data_country[[#This Row],[pro_coal]]/Data_country[[#This Row],[pricon_coal]])*100</f>
        <v>99.414386251392102</v>
      </c>
      <c r="AC21" s="24">
        <f>Data_country[[#This Row],[ic_gas]]+Data_country[[#This Row],[ic_coal]]+Data_country[[#This Row],[ic_other_fossil]]+Data_country[[#This Row],[ic_nuc]]+Data_country[[#This Row],[ic_h2o]]+Data_country[[#This Row],[ic_wind]]+Data_country[[#This Row],[ic_solar]]+Data_country[[#This Row],[ic_bio]]+Data_country[[#This Row],[ic_other_re]]</f>
        <v>137.31999999999996</v>
      </c>
      <c r="AD21" s="24">
        <v>86.61</v>
      </c>
      <c r="AE21" s="24">
        <v>44.24</v>
      </c>
      <c r="AF21" s="24">
        <v>38.049999999999997</v>
      </c>
      <c r="AG21" s="24">
        <v>4.32</v>
      </c>
      <c r="AH21" s="24">
        <v>23.25</v>
      </c>
      <c r="AI21" s="24">
        <v>27.46</v>
      </c>
      <c r="AJ21" s="24">
        <v>1.84</v>
      </c>
      <c r="AK21" s="24">
        <v>1.72</v>
      </c>
      <c r="AL21" s="24">
        <v>21.26</v>
      </c>
      <c r="AM21" s="24">
        <v>2.64</v>
      </c>
      <c r="AN21" s="24">
        <v>0</v>
      </c>
      <c r="AO21" s="25">
        <f>Data_country[[#This Row],[ic_fossil]]/Data_country[[#This Row],[ic_total]]*100</f>
        <v>63.071657442470162</v>
      </c>
      <c r="AP21" s="25">
        <f>Data_country[[#This Row],[ic_gas]]/Data_country[[#This Row],[ic_total]]*100</f>
        <v>32.216720069909712</v>
      </c>
      <c r="AQ21" s="25">
        <f>Data_country[[#This Row],[ic_coal]]/Data_country[[#This Row],[ic_total]]*100</f>
        <v>27.709000873871254</v>
      </c>
      <c r="AR21" s="25">
        <f>Data_country[[#This Row],[ic_other_fossil]]/Data_country[[#This Row],[ic_total]]*100</f>
        <v>3.1459364986891938</v>
      </c>
      <c r="AS21" s="25">
        <f>Data_country[[#This Row],[ic_nuc]]/Data_country[[#This Row],[ic_total]]*100</f>
        <v>16.931255461695315</v>
      </c>
      <c r="AT21" s="25">
        <f>Data_country[[#This Row],[ic_re]]/Data_country[[#This Row],[ic_total]]*100</f>
        <v>19.997087095834555</v>
      </c>
      <c r="AU21" s="25">
        <f>Data_country[[#This Row],[ic_h2o]]/Data_country[[#This Row],[ic_total]]*100</f>
        <v>1.3399359161083604</v>
      </c>
      <c r="AV21" s="25">
        <f>Data_country[[#This Row],[ic_wind]]/Data_country[[#This Row],[ic_total]]*100</f>
        <v>1.2525487911447717</v>
      </c>
      <c r="AW21" s="25">
        <f>Data_country[[#This Row],[ic_solar]]/Data_country[[#This Row],[ic_total]]*100</f>
        <v>15.48208563938247</v>
      </c>
      <c r="AX21" s="25">
        <f>Data_country[[#This Row],[ic_bio]]/Data_country[[#This Row],[ic_total]]*100</f>
        <v>1.9225167491989521</v>
      </c>
      <c r="AY21" s="25">
        <f>Data_country[[#This Row],[ic_other_re]]/Data_country[[#This Row],[ic_total]]*100</f>
        <v>0</v>
      </c>
      <c r="AZ21" s="24">
        <v>607.76</v>
      </c>
      <c r="BA21" s="24">
        <v>401.65</v>
      </c>
      <c r="BB21" s="24">
        <v>180.54</v>
      </c>
      <c r="BC21" s="24">
        <v>212.09</v>
      </c>
      <c r="BD21" s="24">
        <v>9.02</v>
      </c>
      <c r="BE21" s="24">
        <v>158.01</v>
      </c>
      <c r="BF21" s="24">
        <v>48.1</v>
      </c>
      <c r="BG21" s="24">
        <v>3.05</v>
      </c>
      <c r="BH21" s="24">
        <v>3.18</v>
      </c>
      <c r="BI21" s="24">
        <v>24.72</v>
      </c>
      <c r="BJ21" s="24">
        <v>17.149999999999999</v>
      </c>
      <c r="BK21" s="24">
        <v>0</v>
      </c>
      <c r="BL21" s="25">
        <f>Data_country[[#This Row],[gen_fossil]]/Data_country[[#This Row],[gen_total]]*100</f>
        <v>66.086942214031851</v>
      </c>
      <c r="BM21" s="25">
        <f>Data_country[[#This Row],[gen_gas]]/Data_country[[#This Row],[gen_total]]*100</f>
        <v>29.70580492299592</v>
      </c>
      <c r="BN21" s="25">
        <f>Data_country[[#This Row],[gen_coal]]/Data_country[[#This Row],[gen_total]]*100</f>
        <v>34.896998815321837</v>
      </c>
      <c r="BO21" s="25">
        <f>Data_country[[#This Row],[gen_other_fossil]]/Data_country[[#This Row],[gen_total]]*100</f>
        <v>1.4841384757140976</v>
      </c>
      <c r="BP21" s="25">
        <f>Data_country[[#This Row],[gen_nuc]]/Data_country[[#This Row],[gen_total]]*100</f>
        <v>25.998749506384101</v>
      </c>
      <c r="BQ21" s="25">
        <f>Data_country[[#This Row],[gen_re]]/Data_country[[#This Row],[gen_total]]*100</f>
        <v>7.9143082795840467</v>
      </c>
      <c r="BR21" s="25">
        <f>Data_country[[#This Row],[gen_h2o]]/Data_country[[#This Row],[gen_total]]*100</f>
        <v>0.50184283269711727</v>
      </c>
      <c r="BS21" s="25">
        <f>Data_country[[#This Row],[gen_wind]]/Data_country[[#This Row],[gen_total]]*100</f>
        <v>0.52323285507437145</v>
      </c>
      <c r="BT21" s="25">
        <f>Data_country[[#This Row],[gen_solar]]/Data_country[[#This Row],[gen_total]]*100</f>
        <v>4.0673950243517183</v>
      </c>
      <c r="BU21" s="25">
        <f>Data_country[[#This Row],[gen_bio]]/Data_country[[#This Row],[gen_total]]*100</f>
        <v>2.8218375674608396</v>
      </c>
      <c r="BV21" s="25">
        <f>Data_country[[#This Row],[gen_other_re]]/Data_country[[#This Row],[gen_total]]*100</f>
        <v>0</v>
      </c>
    </row>
    <row r="22" spans="1:74" s="1" customFormat="1" ht="25.5" customHeight="1" x14ac:dyDescent="0.25">
      <c r="A22" s="23" t="s">
        <v>322</v>
      </c>
      <c r="B22" s="23">
        <v>2022</v>
      </c>
      <c r="C22" s="24">
        <v>1673916.5117997101</v>
      </c>
      <c r="D22" s="24">
        <v>51.672569000000003</v>
      </c>
      <c r="E22" s="24">
        <f>Data_country[[#This Row],[gdp]]/Data_country[[#This Row],[population]]</f>
        <v>32394.68337252034</v>
      </c>
      <c r="F22" s="24">
        <v>616.34391137957596</v>
      </c>
      <c r="G22" s="24">
        <f>Data_country[[#This Row],[co2_total]]/Data_country[[#This Row],[population]]</f>
        <v>11.927874369466243</v>
      </c>
      <c r="H22" s="24">
        <v>267.33</v>
      </c>
      <c r="I22" s="24">
        <f>Data_country[[#This Row],[co2_power_fossil]]/Data_country[[#This Row],[co2_total]]*100</f>
        <v>43.373511941024852</v>
      </c>
      <c r="J22" s="25">
        <f>Data_country[[#This Row],[co2_power_fossil]]/H31*100</f>
        <v>1.9555318222882201</v>
      </c>
      <c r="K22" s="25">
        <v>25.9</v>
      </c>
      <c r="L22" s="24">
        <v>12.75243847258389</v>
      </c>
      <c r="M22" s="24">
        <v>5.4665770530700684</v>
      </c>
      <c r="N22" s="24">
        <v>2.2456393241882324</v>
      </c>
      <c r="O22" s="24">
        <v>2.8676466941833496</v>
      </c>
      <c r="P22" s="24">
        <v>1.5856244564056396</v>
      </c>
      <c r="Q22" s="24">
        <v>3.3236391842365265E-2</v>
      </c>
      <c r="R22" s="24">
        <v>0.55371455289423466</v>
      </c>
      <c r="S22" s="24">
        <f>M22/L22*100</f>
        <v>42.866915726137464</v>
      </c>
      <c r="T22" s="24">
        <f>N22/L22*100</f>
        <v>17.609489581275533</v>
      </c>
      <c r="U22" s="24">
        <f>O22/L22*100</f>
        <v>22.487045911638177</v>
      </c>
      <c r="V22" s="24">
        <f>P22/L22*100</f>
        <v>12.433892230215649</v>
      </c>
      <c r="W22" s="24">
        <f>Q22/L22*100</f>
        <v>0.26062773730545147</v>
      </c>
      <c r="X22" s="24">
        <f>R22/L22*100</f>
        <v>4.3420288134277225</v>
      </c>
      <c r="Y22" s="24"/>
      <c r="Z22" s="24">
        <v>1.6170259565114975E-2</v>
      </c>
      <c r="AA22" s="24"/>
      <c r="AB22" s="24">
        <f>(1-Data_country[[#This Row],[pro_coal]]/Data_country[[#This Row],[pricon_coal]])*100</f>
        <v>99.436113953719811</v>
      </c>
      <c r="AC22" s="24">
        <f>Data_country[[#This Row],[ic_gas]]+Data_country[[#This Row],[ic_coal]]+Data_country[[#This Row],[ic_other_fossil]]+Data_country[[#This Row],[ic_nuc]]+Data_country[[#This Row],[ic_h2o]]+Data_country[[#This Row],[ic_wind]]+Data_country[[#This Row],[ic_solar]]+Data_country[[#This Row],[ic_bio]]+Data_country[[#This Row],[ic_other_re]]</f>
        <v>142.49999999999997</v>
      </c>
      <c r="AD22" s="24">
        <v>87.01</v>
      </c>
      <c r="AE22" s="24">
        <v>44.81</v>
      </c>
      <c r="AF22" s="24">
        <v>39.090000000000003</v>
      </c>
      <c r="AG22" s="24">
        <v>3.11</v>
      </c>
      <c r="AH22" s="24">
        <v>24.65</v>
      </c>
      <c r="AI22" s="24">
        <v>30.84</v>
      </c>
      <c r="AJ22" s="24">
        <v>1.81</v>
      </c>
      <c r="AK22" s="24">
        <v>1.91</v>
      </c>
      <c r="AL22" s="24">
        <v>24.08</v>
      </c>
      <c r="AM22" s="24">
        <v>3.04</v>
      </c>
      <c r="AN22" s="24">
        <v>0</v>
      </c>
      <c r="AO22" s="25">
        <f>Data_country[[#This Row],[ic_fossil]]/Data_country[[#This Row],[ic_total]]*100</f>
        <v>61.059649122807038</v>
      </c>
      <c r="AP22" s="25">
        <f>Data_country[[#This Row],[ic_gas]]/Data_country[[#This Row],[ic_total]]*100</f>
        <v>31.445614035087726</v>
      </c>
      <c r="AQ22" s="25">
        <f>Data_country[[#This Row],[ic_coal]]/Data_country[[#This Row],[ic_total]]*100</f>
        <v>27.431578947368429</v>
      </c>
      <c r="AR22" s="25">
        <f>Data_country[[#This Row],[ic_other_fossil]]/Data_country[[#This Row],[ic_total]]*100</f>
        <v>2.1824561403508773</v>
      </c>
      <c r="AS22" s="25">
        <f>Data_country[[#This Row],[ic_nuc]]/Data_country[[#This Row],[ic_total]]*100</f>
        <v>17.298245614035089</v>
      </c>
      <c r="AT22" s="25">
        <f>Data_country[[#This Row],[ic_re]]/Data_country[[#This Row],[ic_total]]*100</f>
        <v>21.642105263157898</v>
      </c>
      <c r="AU22" s="25">
        <f>Data_country[[#This Row],[ic_h2o]]/Data_country[[#This Row],[ic_total]]*100</f>
        <v>1.2701754385964916</v>
      </c>
      <c r="AV22" s="25">
        <f>Data_country[[#This Row],[ic_wind]]/Data_country[[#This Row],[ic_total]]*100</f>
        <v>1.3403508771929826</v>
      </c>
      <c r="AW22" s="25">
        <f>Data_country[[#This Row],[ic_solar]]/Data_country[[#This Row],[ic_total]]*100</f>
        <v>16.898245614035091</v>
      </c>
      <c r="AX22" s="25">
        <f>Data_country[[#This Row],[ic_bio]]/Data_country[[#This Row],[ic_total]]*100</f>
        <v>2.1333333333333337</v>
      </c>
      <c r="AY22" s="25">
        <f>Data_country[[#This Row],[ic_other_re]]/Data_country[[#This Row],[ic_total]]*100</f>
        <v>0</v>
      </c>
      <c r="AZ22" s="24">
        <v>624.6</v>
      </c>
      <c r="BA22" s="24">
        <v>393.06</v>
      </c>
      <c r="BB22" s="24">
        <v>176.3</v>
      </c>
      <c r="BC22" s="24">
        <v>208.41</v>
      </c>
      <c r="BD22" s="24">
        <v>8.35</v>
      </c>
      <c r="BE22" s="24">
        <v>176.05</v>
      </c>
      <c r="BF22" s="24">
        <v>55.49</v>
      </c>
      <c r="BG22" s="24">
        <v>3.54</v>
      </c>
      <c r="BH22" s="24">
        <v>3.37</v>
      </c>
      <c r="BI22" s="24">
        <v>30.73</v>
      </c>
      <c r="BJ22" s="24">
        <v>17.850000000000001</v>
      </c>
      <c r="BK22" s="24">
        <v>0</v>
      </c>
      <c r="BL22" s="25">
        <f>Data_country[[#This Row],[gen_fossil]]/Data_country[[#This Row],[gen_total]]*100</f>
        <v>62.929875120076851</v>
      </c>
      <c r="BM22" s="25">
        <f>Data_country[[#This Row],[gen_gas]]/Data_country[[#This Row],[gen_total]]*100</f>
        <v>28.226064681396096</v>
      </c>
      <c r="BN22" s="25">
        <f>Data_country[[#This Row],[gen_coal]]/Data_country[[#This Row],[gen_total]]*100</f>
        <v>33.366954851104708</v>
      </c>
      <c r="BO22" s="25">
        <f>Data_country[[#This Row],[gen_other_fossil]]/Data_country[[#This Row],[gen_total]]*100</f>
        <v>1.3368555875760486</v>
      </c>
      <c r="BP22" s="25">
        <f>Data_country[[#This Row],[gen_nuc]]/Data_country[[#This Row],[gen_total]]*100</f>
        <v>28.186039065001602</v>
      </c>
      <c r="BQ22" s="25">
        <f>Data_country[[#This Row],[gen_re]]/Data_country[[#This Row],[gen_total]]*100</f>
        <v>8.8840858149215496</v>
      </c>
      <c r="BR22" s="25">
        <f>Data_country[[#This Row],[gen_h2o]]/Data_country[[#This Row],[gen_total]]*100</f>
        <v>0.56676272814601347</v>
      </c>
      <c r="BS22" s="25">
        <f>Data_country[[#This Row],[gen_wind]]/Data_country[[#This Row],[gen_total]]*100</f>
        <v>0.53954530899775854</v>
      </c>
      <c r="BT22" s="25">
        <f>Data_country[[#This Row],[gen_solar]]/Data_country[[#This Row],[gen_total]]*100</f>
        <v>4.9199487672110154</v>
      </c>
      <c r="BU22" s="25">
        <f>Data_country[[#This Row],[gen_bio]]/Data_country[[#This Row],[gen_total]]*100</f>
        <v>2.8578290105667632</v>
      </c>
      <c r="BV22" s="25">
        <f>Data_country[[#This Row],[gen_other_re]]/Data_country[[#This Row],[gen_total]]*100</f>
        <v>0</v>
      </c>
    </row>
    <row r="23" spans="1:74" s="1" customFormat="1" ht="25.4" customHeight="1" x14ac:dyDescent="0.25">
      <c r="A23" s="23" t="s">
        <v>322</v>
      </c>
      <c r="B23" s="23">
        <v>2023</v>
      </c>
      <c r="C23" s="24">
        <v>1712792.8542023699</v>
      </c>
      <c r="D23" s="24">
        <v>51.712618999999997</v>
      </c>
      <c r="E23" s="24">
        <f>Data_country[[#This Row],[gdp]]/Data_country[[#This Row],[population]]</f>
        <v>33121.371288550865</v>
      </c>
      <c r="F23" s="24">
        <v>594.16953251138295</v>
      </c>
      <c r="G23" s="24">
        <f>Data_country[[#This Row],[co2_total]]/Data_country[[#This Row],[population]]</f>
        <v>11.489836407461455</v>
      </c>
      <c r="H23" s="24">
        <v>260.37</v>
      </c>
      <c r="I23" s="24">
        <f>Data_country[[#This Row],[co2_power_fossil]]/Data_country[[#This Row],[co2_total]]*100</f>
        <v>43.82082650712352</v>
      </c>
      <c r="J23" s="25">
        <f>Data_country[[#This Row],[co2_power_fossil]]/H32*100</f>
        <v>1.8790554276967444</v>
      </c>
      <c r="K23" s="25">
        <v>26.8</v>
      </c>
      <c r="L23" s="24">
        <v>12.434021301567554</v>
      </c>
      <c r="M23" s="24">
        <v>5.3634929656982422</v>
      </c>
      <c r="N23" s="24">
        <v>2.1626894474029541</v>
      </c>
      <c r="O23" s="24">
        <v>2.6940550804138184</v>
      </c>
      <c r="P23" s="24">
        <v>1.6197073459625244</v>
      </c>
      <c r="Q23" s="24">
        <v>3.4754436463117599E-2</v>
      </c>
      <c r="R23" s="24">
        <v>0.55932202562689781</v>
      </c>
      <c r="S23" s="24">
        <f>M23/L23*100</f>
        <v>43.135626324060325</v>
      </c>
      <c r="T23" s="24">
        <f>N23/L23*100</f>
        <v>17.393322682584632</v>
      </c>
      <c r="U23" s="24">
        <f>O23/L23*100</f>
        <v>21.666804447843269</v>
      </c>
      <c r="V23" s="24">
        <f>P23/L23*100</f>
        <v>13.026416045775377</v>
      </c>
      <c r="W23" s="24">
        <f>Q23/L23*100</f>
        <v>0.2795108325794497</v>
      </c>
      <c r="X23" s="24">
        <f>R23/L23*100</f>
        <v>4.4983196671569496</v>
      </c>
      <c r="Y23" s="24"/>
      <c r="Z23" s="24">
        <v>1.2758729048073292E-2</v>
      </c>
      <c r="AA23" s="24"/>
      <c r="AB23" s="24">
        <f>(1-Data_country[[#This Row],[pro_coal]]/Data_country[[#This Row],[pricon_coal]])*100</f>
        <v>99.526411722580164</v>
      </c>
      <c r="AC23" s="24">
        <f>Data_country[[#This Row],[ic_gas]]+Data_country[[#This Row],[ic_coal]]+Data_country[[#This Row],[ic_other_fossil]]+Data_country[[#This Row],[ic_nuc]]+Data_country[[#This Row],[ic_h2o]]+Data_country[[#This Row],[ic_wind]]+Data_country[[#This Row],[ic_solar]]+Data_country[[#This Row],[ic_bio]]+Data_country[[#This Row],[ic_other_re]]</f>
        <v>148.49</v>
      </c>
      <c r="AD23" s="24">
        <v>89.76</v>
      </c>
      <c r="AE23" s="24">
        <v>46.58</v>
      </c>
      <c r="AF23" s="24">
        <v>40.130000000000003</v>
      </c>
      <c r="AG23" s="24">
        <v>3.05</v>
      </c>
      <c r="AH23" s="24">
        <v>24.65</v>
      </c>
      <c r="AI23" s="24">
        <v>34.08</v>
      </c>
      <c r="AJ23" s="24">
        <v>1.8</v>
      </c>
      <c r="AK23" s="24">
        <v>2.17</v>
      </c>
      <c r="AL23" s="24">
        <v>27.05</v>
      </c>
      <c r="AM23" s="24">
        <v>3.06</v>
      </c>
      <c r="AN23" s="24">
        <v>0</v>
      </c>
      <c r="AO23" s="25">
        <f>Data_country[[#This Row],[ic_fossil]]/Data_country[[#This Row],[ic_total]]*100</f>
        <v>60.448515051518626</v>
      </c>
      <c r="AP23" s="25">
        <f>Data_country[[#This Row],[ic_gas]]/Data_country[[#This Row],[ic_total]]*100</f>
        <v>31.369115765371404</v>
      </c>
      <c r="AQ23" s="25">
        <f>Data_country[[#This Row],[ic_coal]]/Data_country[[#This Row],[ic_total]]*100</f>
        <v>27.025388915078459</v>
      </c>
      <c r="AR23" s="25">
        <f>Data_country[[#This Row],[ic_other_fossil]]/Data_country[[#This Row],[ic_total]]*100</f>
        <v>2.0540103710687587</v>
      </c>
      <c r="AS23" s="25">
        <f>Data_country[[#This Row],[ic_nuc]]/Data_country[[#This Row],[ic_total]]*100</f>
        <v>16.600444474375379</v>
      </c>
      <c r="AT23" s="25">
        <f>Data_country[[#This Row],[ic_re]]/Data_country[[#This Row],[ic_total]]*100</f>
        <v>22.951040474105998</v>
      </c>
      <c r="AU23" s="25">
        <f>Data_country[[#This Row],[ic_h2o]]/Data_country[[#This Row],[ic_total]]*100</f>
        <v>1.2122028419422182</v>
      </c>
      <c r="AV23" s="25">
        <f>Data_country[[#This Row],[ic_wind]]/Data_country[[#This Row],[ic_total]]*100</f>
        <v>1.4613778705636742</v>
      </c>
      <c r="AW23" s="25">
        <f>Data_country[[#This Row],[ic_solar]]/Data_country[[#This Row],[ic_total]]*100</f>
        <v>18.216714930298338</v>
      </c>
      <c r="AX23" s="25">
        <f>Data_country[[#This Row],[ic_bio]]/Data_country[[#This Row],[ic_total]]*100</f>
        <v>2.0607448313017711</v>
      </c>
      <c r="AY23" s="25">
        <f>Data_country[[#This Row],[ic_other_re]]/Data_country[[#This Row],[ic_total]]*100</f>
        <v>0</v>
      </c>
      <c r="AZ23" s="24">
        <v>617.91999999999996</v>
      </c>
      <c r="BA23" s="24">
        <v>381.7</v>
      </c>
      <c r="BB23" s="24">
        <v>168.82</v>
      </c>
      <c r="BC23" s="24">
        <v>205.08</v>
      </c>
      <c r="BD23" s="24">
        <v>7.8</v>
      </c>
      <c r="BE23" s="24">
        <v>180.49</v>
      </c>
      <c r="BF23" s="24">
        <v>55.73</v>
      </c>
      <c r="BG23" s="24">
        <v>3.72</v>
      </c>
      <c r="BH23" s="24">
        <v>3.39</v>
      </c>
      <c r="BI23" s="24">
        <v>29.37</v>
      </c>
      <c r="BJ23" s="24">
        <v>19.25</v>
      </c>
      <c r="BK23" s="24">
        <v>0</v>
      </c>
      <c r="BL23" s="25">
        <f>Data_country[[#This Row],[gen_fossil]]/Data_country[[#This Row],[gen_total]]*100</f>
        <v>61.771750388399795</v>
      </c>
      <c r="BM23" s="25">
        <f>Data_country[[#This Row],[gen_gas]]/Data_country[[#This Row],[gen_total]]*100</f>
        <v>27.320688762299326</v>
      </c>
      <c r="BN23" s="25">
        <f>Data_country[[#This Row],[gen_coal]]/Data_country[[#This Row],[gen_total]]*100</f>
        <v>33.188762299326783</v>
      </c>
      <c r="BO23" s="25">
        <f>Data_country[[#This Row],[gen_other_fossil]]/Data_country[[#This Row],[gen_total]]*100</f>
        <v>1.2622993267736924</v>
      </c>
      <c r="BP23" s="25">
        <f>Data_country[[#This Row],[gen_nuc]]/Data_country[[#This Row],[gen_total]]*100</f>
        <v>29.209282755049198</v>
      </c>
      <c r="BQ23" s="25">
        <f>Data_country[[#This Row],[gen_re]]/Data_country[[#This Row],[gen_total]]*100</f>
        <v>9.0189668565510104</v>
      </c>
      <c r="BR23" s="25">
        <f>Data_country[[#This Row],[gen_h2o]]/Data_country[[#This Row],[gen_total]]*100</f>
        <v>0.60201967892283803</v>
      </c>
      <c r="BS23" s="25">
        <f>Data_country[[#This Row],[gen_wind]]/Data_country[[#This Row],[gen_total]]*100</f>
        <v>0.54861470740548945</v>
      </c>
      <c r="BT23" s="25">
        <f>Data_country[[#This Row],[gen_solar]]/Data_country[[#This Row],[gen_total]]*100</f>
        <v>4.7530424650440191</v>
      </c>
      <c r="BU23" s="25">
        <f>Data_country[[#This Row],[gen_bio]]/Data_country[[#This Row],[gen_total]]*100</f>
        <v>3.1152900051786641</v>
      </c>
      <c r="BV23" s="25">
        <f>Data_country[[#This Row],[gen_other_re]]/Data_country[[#This Row],[gen_total]]*100</f>
        <v>0</v>
      </c>
    </row>
    <row r="24" spans="1:74" s="1" customFormat="1" ht="25.5" customHeight="1" x14ac:dyDescent="0.25">
      <c r="A24" s="23" t="s">
        <v>90</v>
      </c>
      <c r="B24" s="23">
        <v>2021</v>
      </c>
      <c r="C24" s="24">
        <v>506256.49429733999</v>
      </c>
      <c r="D24" s="24">
        <v>71.601102999999995</v>
      </c>
      <c r="E24" s="24">
        <f>Data_country[[#This Row],[gdp]]/Data_country[[#This Row],[population]]</f>
        <v>7070.5125072911242</v>
      </c>
      <c r="F24" s="24">
        <v>304.04034971853298</v>
      </c>
      <c r="G24" s="24">
        <f>Data_country[[#This Row],[co2_total]]/Data_country[[#This Row],[population]]</f>
        <v>4.2463081849246516</v>
      </c>
      <c r="H24" s="24">
        <v>96.69</v>
      </c>
      <c r="I24" s="24">
        <f>Data_country[[#This Row],[co2_power_fossil]]/Data_country[[#This Row],[co2_total]]*100</f>
        <v>31.801700034061692</v>
      </c>
      <c r="J24" s="25">
        <f>Data_country[[#This Row],[co2_power_fossil]]/H30*100</f>
        <v>0.71649024264632322</v>
      </c>
      <c r="K24" s="25">
        <v>16.5</v>
      </c>
      <c r="L24" s="24">
        <v>4.9925163071602583</v>
      </c>
      <c r="M24" s="24">
        <v>2.1569128036499023</v>
      </c>
      <c r="N24" s="24">
        <v>1.69249427318573</v>
      </c>
      <c r="O24" s="24">
        <v>0.78218704462051392</v>
      </c>
      <c r="P24" s="24">
        <v>0</v>
      </c>
      <c r="Q24" s="24">
        <v>4.2766891419887543E-2</v>
      </c>
      <c r="R24" s="24">
        <v>0.31815529428422451</v>
      </c>
      <c r="S24" s="24">
        <f t="shared" si="0"/>
        <v>43.202919548934908</v>
      </c>
      <c r="T24" s="24">
        <f t="shared" si="1"/>
        <v>33.900625837883744</v>
      </c>
      <c r="U24" s="24">
        <f t="shared" si="2"/>
        <v>15.667190580803963</v>
      </c>
      <c r="V24" s="24">
        <f t="shared" si="3"/>
        <v>0</v>
      </c>
      <c r="W24" s="24">
        <f t="shared" si="4"/>
        <v>0.85661996453674749</v>
      </c>
      <c r="X24" s="24">
        <f t="shared" si="5"/>
        <v>6.3726440678406338</v>
      </c>
      <c r="Y24" s="24">
        <v>1.1349338293075562</v>
      </c>
      <c r="Z24" s="24">
        <v>0.14748771488666534</v>
      </c>
      <c r="AA24" s="24">
        <f>(1-Data_country[[#This Row],[pro_gas]]/Data_country[[#This Row],[pricon_gas]])*100</f>
        <v>32.943121445763893</v>
      </c>
      <c r="AB24" s="24">
        <f>(1-Data_country[[#This Row],[pro_coal]]/Data_country[[#This Row],[pricon_coal]])*100</f>
        <v>81.144188477550088</v>
      </c>
      <c r="AC24" s="24">
        <f>Data_country[[#This Row],[ic_gas]]+Data_country[[#This Row],[ic_coal]]+Data_country[[#This Row],[ic_other_fossil]]+Data_country[[#This Row],[ic_nuc]]+Data_country[[#This Row],[ic_h2o]]+Data_country[[#This Row],[ic_wind]]+Data_country[[#This Row],[ic_solar]]+Data_country[[#This Row],[ic_bio]]+Data_country[[#This Row],[ic_other_re]]</f>
        <v>51.75</v>
      </c>
      <c r="AD24" s="24">
        <v>39.74</v>
      </c>
      <c r="AE24" s="24">
        <v>33.6</v>
      </c>
      <c r="AF24" s="24">
        <v>6.14</v>
      </c>
      <c r="AG24" s="24">
        <v>0</v>
      </c>
      <c r="AH24" s="24">
        <v>0</v>
      </c>
      <c r="AI24" s="24">
        <v>12.01</v>
      </c>
      <c r="AJ24" s="24">
        <v>3.11</v>
      </c>
      <c r="AK24" s="24">
        <v>1.55</v>
      </c>
      <c r="AL24" s="24">
        <v>3.07</v>
      </c>
      <c r="AM24" s="24">
        <v>4.28</v>
      </c>
      <c r="AN24" s="24">
        <v>0</v>
      </c>
      <c r="AO24" s="25">
        <f>Data_country[[#This Row],[ic_fossil]]/Data_country[[#This Row],[ic_total]]*100</f>
        <v>76.792270531400973</v>
      </c>
      <c r="AP24" s="25">
        <f>Data_country[[#This Row],[ic_gas]]/Data_country[[#This Row],[ic_total]]*100</f>
        <v>64.927536231884062</v>
      </c>
      <c r="AQ24" s="25">
        <f>Data_country[[#This Row],[ic_coal]]/Data_country[[#This Row],[ic_total]]*100</f>
        <v>11.864734299516908</v>
      </c>
      <c r="AR24" s="25">
        <f>Data_country[[#This Row],[ic_other_fossil]]/Data_country[[#This Row],[ic_total]]*100</f>
        <v>0</v>
      </c>
      <c r="AS24" s="25">
        <f>Data_country[[#This Row],[ic_nuc]]/Data_country[[#This Row],[ic_total]]*100</f>
        <v>0</v>
      </c>
      <c r="AT24" s="25">
        <f>Data_country[[#This Row],[ic_re]]/Data_country[[#This Row],[ic_total]]*100</f>
        <v>23.207729468599034</v>
      </c>
      <c r="AU24" s="25">
        <f>Data_country[[#This Row],[ic_h2o]]/Data_country[[#This Row],[ic_total]]*100</f>
        <v>6.0096618357487923</v>
      </c>
      <c r="AV24" s="25">
        <f>Data_country[[#This Row],[ic_wind]]/Data_country[[#This Row],[ic_total]]*100</f>
        <v>2.9951690821256038</v>
      </c>
      <c r="AW24" s="25">
        <f>Data_country[[#This Row],[ic_solar]]/Data_country[[#This Row],[ic_total]]*100</f>
        <v>5.9323671497584538</v>
      </c>
      <c r="AX24" s="25">
        <f>Data_country[[#This Row],[ic_bio]]/Data_country[[#This Row],[ic_total]]*100</f>
        <v>8.2705314009661848</v>
      </c>
      <c r="AY24" s="25">
        <f>Data_country[[#This Row],[ic_other_re]]/Data_country[[#This Row],[ic_total]]*100</f>
        <v>0</v>
      </c>
      <c r="AZ24" s="24">
        <v>176.36</v>
      </c>
      <c r="BA24" s="24">
        <v>149.88999999999999</v>
      </c>
      <c r="BB24" s="24">
        <v>113.11</v>
      </c>
      <c r="BC24" s="24">
        <v>36.06</v>
      </c>
      <c r="BD24" s="24">
        <v>0.72</v>
      </c>
      <c r="BE24" s="24">
        <v>0</v>
      </c>
      <c r="BF24" s="24">
        <v>26.47</v>
      </c>
      <c r="BG24" s="24">
        <v>4.54</v>
      </c>
      <c r="BH24" s="24">
        <v>3.53</v>
      </c>
      <c r="BI24" s="24">
        <v>4.99</v>
      </c>
      <c r="BJ24" s="24">
        <v>13.41</v>
      </c>
      <c r="BK24" s="24">
        <v>0</v>
      </c>
      <c r="BL24" s="25">
        <f>Data_country[[#This Row],[gen_fossil]]/Data_country[[#This Row],[gen_total]]*100</f>
        <v>84.990927647992734</v>
      </c>
      <c r="BM24" s="25">
        <f>Data_country[[#This Row],[gen_gas]]/Data_country[[#This Row],[gen_total]]*100</f>
        <v>64.13585847130868</v>
      </c>
      <c r="BN24" s="25">
        <f>Data_country[[#This Row],[gen_coal]]/Data_country[[#This Row],[gen_total]]*100</f>
        <v>20.446813336357451</v>
      </c>
      <c r="BO24" s="25">
        <f>Data_country[[#This Row],[gen_other_fossil]]/Data_country[[#This Row],[gen_total]]*100</f>
        <v>0.40825584032660467</v>
      </c>
      <c r="BP24" s="25">
        <f>Data_country[[#This Row],[gen_nuc]]/Data_country[[#This Row],[gen_total]]*100</f>
        <v>0</v>
      </c>
      <c r="BQ24" s="25">
        <f>Data_country[[#This Row],[gen_re]]/Data_country[[#This Row],[gen_total]]*100</f>
        <v>15.009072352007255</v>
      </c>
      <c r="BR24" s="25">
        <f>Data_country[[#This Row],[gen_h2o]]/Data_country[[#This Row],[gen_total]]*100</f>
        <v>2.5742798820594235</v>
      </c>
      <c r="BS24" s="25">
        <f>Data_country[[#This Row],[gen_wind]]/Data_country[[#This Row],[gen_total]]*100</f>
        <v>2.0015876616012696</v>
      </c>
      <c r="BT24" s="25">
        <f>Data_country[[#This Row],[gen_solar]]/Data_country[[#This Row],[gen_total]]*100</f>
        <v>2.829439782263552</v>
      </c>
      <c r="BU24" s="25">
        <f>Data_country[[#This Row],[gen_bio]]/Data_country[[#This Row],[gen_total]]*100</f>
        <v>7.6037650260830123</v>
      </c>
      <c r="BV24" s="25">
        <f>Data_country[[#This Row],[gen_other_re]]/Data_country[[#This Row],[gen_total]]*100</f>
        <v>0</v>
      </c>
    </row>
    <row r="25" spans="1:74" s="1" customFormat="1" ht="25.5" customHeight="1" x14ac:dyDescent="0.25">
      <c r="A25" s="23" t="s">
        <v>90</v>
      </c>
      <c r="B25" s="23">
        <v>2022</v>
      </c>
      <c r="C25" s="24">
        <v>495645.21097275103</v>
      </c>
      <c r="D25" s="24">
        <v>71.697029999999998</v>
      </c>
      <c r="E25" s="24">
        <f>Data_country[[#This Row],[gdp]]/Data_country[[#This Row],[population]]</f>
        <v>6913.0508052111927</v>
      </c>
      <c r="F25" s="24">
        <v>306.20978523814102</v>
      </c>
      <c r="G25" s="24">
        <f>Data_country[[#This Row],[co2_total]]/Data_country[[#This Row],[population]]</f>
        <v>4.2708852129319865</v>
      </c>
      <c r="H25" s="24">
        <v>97.77</v>
      </c>
      <c r="I25" s="24">
        <f>Data_country[[#This Row],[co2_power_fossil]]/Data_country[[#This Row],[co2_total]]*100</f>
        <v>31.929090680091665</v>
      </c>
      <c r="J25" s="25">
        <f>Data_country[[#This Row],[co2_power_fossil]]/H31*100</f>
        <v>0.71519225775303663</v>
      </c>
      <c r="K25" s="25">
        <v>16.399999999999999</v>
      </c>
      <c r="L25" s="24">
        <v>4.9964161925017834</v>
      </c>
      <c r="M25" s="24">
        <v>2.3167762756347656</v>
      </c>
      <c r="N25" s="24">
        <v>1.5954501628875732</v>
      </c>
      <c r="O25" s="24">
        <v>0.71164435148239136</v>
      </c>
      <c r="P25" s="24">
        <v>0</v>
      </c>
      <c r="Q25" s="24">
        <v>6.19344562292099E-2</v>
      </c>
      <c r="R25" s="24">
        <v>0.31061094626784325</v>
      </c>
      <c r="S25" s="24">
        <f t="shared" si="0"/>
        <v>46.368760855262529</v>
      </c>
      <c r="T25" s="24">
        <f t="shared" si="1"/>
        <v>31.931890807693236</v>
      </c>
      <c r="U25" s="24">
        <f t="shared" si="2"/>
        <v>14.243095932447932</v>
      </c>
      <c r="V25" s="24">
        <f t="shared" si="3"/>
        <v>0</v>
      </c>
      <c r="W25" s="24">
        <f t="shared" si="4"/>
        <v>1.2395776060880619</v>
      </c>
      <c r="X25" s="24">
        <f t="shared" si="5"/>
        <v>6.2166747985082385</v>
      </c>
      <c r="Y25" s="24">
        <v>0.92315065860748291</v>
      </c>
      <c r="Z25" s="24">
        <v>0.14146970212459564</v>
      </c>
      <c r="AA25" s="24">
        <f>(1-Data_country[[#This Row],[pro_gas]]/Data_country[[#This Row],[pricon_gas]])*100</f>
        <v>42.138546218410788</v>
      </c>
      <c r="AB25" s="24">
        <f>(1-Data_country[[#This Row],[pro_coal]]/Data_country[[#This Row],[pricon_coal]])*100</f>
        <v>80.120729992459431</v>
      </c>
      <c r="AC25" s="24">
        <f>Data_country[[#This Row],[ic_gas]]+Data_country[[#This Row],[ic_coal]]+Data_country[[#This Row],[ic_other_fossil]]+Data_country[[#This Row],[ic_nuc]]+Data_country[[#This Row],[ic_h2o]]+Data_country[[#This Row],[ic_wind]]+Data_country[[#This Row],[ic_solar]]+Data_country[[#This Row],[ic_bio]]+Data_country[[#This Row],[ic_other_re]]</f>
        <v>54.9</v>
      </c>
      <c r="AD25" s="24">
        <v>42.63</v>
      </c>
      <c r="AE25" s="24">
        <v>36.49</v>
      </c>
      <c r="AF25" s="24">
        <v>6.14</v>
      </c>
      <c r="AG25" s="24">
        <v>0</v>
      </c>
      <c r="AH25" s="24">
        <v>0</v>
      </c>
      <c r="AI25" s="24">
        <v>12.27</v>
      </c>
      <c r="AJ25" s="24">
        <v>3.11</v>
      </c>
      <c r="AK25" s="24">
        <v>1.55</v>
      </c>
      <c r="AL25" s="24">
        <v>3.19</v>
      </c>
      <c r="AM25" s="24">
        <v>4.42</v>
      </c>
      <c r="AN25" s="24">
        <v>0</v>
      </c>
      <c r="AO25" s="25">
        <f>Data_country[[#This Row],[ic_fossil]]/Data_country[[#This Row],[ic_total]]*100</f>
        <v>77.650273224043715</v>
      </c>
      <c r="AP25" s="25">
        <f>Data_country[[#This Row],[ic_gas]]/Data_country[[#This Row],[ic_total]]*100</f>
        <v>66.466302367941722</v>
      </c>
      <c r="AQ25" s="25">
        <f>Data_country[[#This Row],[ic_coal]]/Data_country[[#This Row],[ic_total]]*100</f>
        <v>11.183970856102004</v>
      </c>
      <c r="AR25" s="25">
        <f>Data_country[[#This Row],[ic_other_fossil]]/Data_country[[#This Row],[ic_total]]*100</f>
        <v>0</v>
      </c>
      <c r="AS25" s="25">
        <f>Data_country[[#This Row],[ic_nuc]]/Data_country[[#This Row],[ic_total]]*100</f>
        <v>0</v>
      </c>
      <c r="AT25" s="25">
        <f>Data_country[[#This Row],[ic_re]]/Data_country[[#This Row],[ic_total]]*100</f>
        <v>22.349726775956285</v>
      </c>
      <c r="AU25" s="25">
        <f>Data_country[[#This Row],[ic_h2o]]/Data_country[[#This Row],[ic_total]]*100</f>
        <v>5.6648451730418943</v>
      </c>
      <c r="AV25" s="25">
        <f>Data_country[[#This Row],[ic_wind]]/Data_country[[#This Row],[ic_total]]*100</f>
        <v>2.8233151183970859</v>
      </c>
      <c r="AW25" s="25">
        <f>Data_country[[#This Row],[ic_solar]]/Data_country[[#This Row],[ic_total]]*100</f>
        <v>5.8105646630236798</v>
      </c>
      <c r="AX25" s="25">
        <f>Data_country[[#This Row],[ic_bio]]/Data_country[[#This Row],[ic_total]]*100</f>
        <v>8.0510018214936245</v>
      </c>
      <c r="AY25" s="25">
        <f>Data_country[[#This Row],[ic_other_re]]/Data_country[[#This Row],[ic_total]]*100</f>
        <v>0</v>
      </c>
      <c r="AZ25" s="24">
        <v>180.37</v>
      </c>
      <c r="BA25" s="24">
        <v>151.88999999999999</v>
      </c>
      <c r="BB25" s="24">
        <v>114.64</v>
      </c>
      <c r="BC25" s="24">
        <v>35.520000000000003</v>
      </c>
      <c r="BD25" s="24">
        <v>1.73</v>
      </c>
      <c r="BE25" s="24">
        <v>0</v>
      </c>
      <c r="BF25" s="24">
        <v>28.48</v>
      </c>
      <c r="BG25" s="24">
        <v>6.6</v>
      </c>
      <c r="BH25" s="24">
        <v>2.99</v>
      </c>
      <c r="BI25" s="24">
        <v>5.03</v>
      </c>
      <c r="BJ25" s="24">
        <v>13.86</v>
      </c>
      <c r="BK25" s="24">
        <v>0</v>
      </c>
      <c r="BL25" s="25">
        <f>Data_country[[#This Row],[gen_fossil]]/Data_country[[#This Row],[gen_total]]*100</f>
        <v>84.210234517935348</v>
      </c>
      <c r="BM25" s="25">
        <f>Data_country[[#This Row],[gen_gas]]/Data_country[[#This Row],[gen_total]]*100</f>
        <v>63.558241392692793</v>
      </c>
      <c r="BN25" s="25">
        <f>Data_country[[#This Row],[gen_coal]]/Data_country[[#This Row],[gen_total]]*100</f>
        <v>19.692853578754782</v>
      </c>
      <c r="BO25" s="25">
        <f>Data_country[[#This Row],[gen_other_fossil]]/Data_country[[#This Row],[gen_total]]*100</f>
        <v>0.95913954648777522</v>
      </c>
      <c r="BP25" s="25">
        <f>Data_country[[#This Row],[gen_nuc]]/Data_country[[#This Row],[gen_total]]*100</f>
        <v>0</v>
      </c>
      <c r="BQ25" s="25">
        <f>Data_country[[#This Row],[gen_re]]/Data_country[[#This Row],[gen_total]]*100</f>
        <v>15.789765482064643</v>
      </c>
      <c r="BR25" s="25">
        <f>Data_country[[#This Row],[gen_h2o]]/Data_country[[#This Row],[gen_total]]*100</f>
        <v>3.6591450906470029</v>
      </c>
      <c r="BS25" s="25">
        <f>Data_country[[#This Row],[gen_wind]]/Data_country[[#This Row],[gen_total]]*100</f>
        <v>1.6577036092476578</v>
      </c>
      <c r="BT25" s="25">
        <f>Data_country[[#This Row],[gen_solar]]/Data_country[[#This Row],[gen_total]]*100</f>
        <v>2.7887120918112767</v>
      </c>
      <c r="BU25" s="25">
        <f>Data_country[[#This Row],[gen_bio]]/Data_country[[#This Row],[gen_total]]*100</f>
        <v>7.6842046903587065</v>
      </c>
      <c r="BV25" s="25">
        <f>Data_country[[#This Row],[gen_other_re]]/Data_country[[#This Row],[gen_total]]*100</f>
        <v>0</v>
      </c>
    </row>
    <row r="26" spans="1:74" s="1" customFormat="1" ht="25.5" customHeight="1" x14ac:dyDescent="0.25">
      <c r="A26" s="23" t="s">
        <v>90</v>
      </c>
      <c r="B26" s="23">
        <v>2023</v>
      </c>
      <c r="C26" s="24">
        <v>514944.99383357802</v>
      </c>
      <c r="D26" s="24">
        <v>71.801278999999994</v>
      </c>
      <c r="E26" s="24">
        <f>Data_country[[#This Row],[gdp]]/Data_country[[#This Row],[population]]</f>
        <v>7171.8080931897894</v>
      </c>
      <c r="F26" s="24">
        <v>302.09512291585997</v>
      </c>
      <c r="G26" s="24">
        <f>Data_country[[#This Row],[co2_total]]/Data_country[[#This Row],[population]]</f>
        <v>4.2073780178185967</v>
      </c>
      <c r="H26" s="24">
        <v>101.21</v>
      </c>
      <c r="I26" s="24">
        <f>Data_country[[#This Row],[co2_power_fossil]]/Data_country[[#This Row],[co2_total]]*100</f>
        <v>33.50269247087089</v>
      </c>
      <c r="J26" s="25">
        <f>Data_country[[#This Row],[co2_power_fossil]]/H32*100</f>
        <v>0.73041901846290846</v>
      </c>
      <c r="K26" s="25">
        <v>17.3</v>
      </c>
      <c r="L26" s="24">
        <v>5.0069243218749762</v>
      </c>
      <c r="M26" s="24">
        <v>2.3109996318817139</v>
      </c>
      <c r="N26" s="24">
        <v>1.6982706785202026</v>
      </c>
      <c r="O26" s="24">
        <v>0.6049727201461792</v>
      </c>
      <c r="P26" s="24">
        <v>0</v>
      </c>
      <c r="Q26" s="24">
        <v>6.1610229313373566E-2</v>
      </c>
      <c r="R26" s="24">
        <v>0.33107106201350689</v>
      </c>
      <c r="S26" s="24">
        <f t="shared" si="0"/>
        <v>46.156072736811375</v>
      </c>
      <c r="T26" s="24">
        <f t="shared" si="1"/>
        <v>33.918441129628256</v>
      </c>
      <c r="U26" s="24">
        <f t="shared" si="2"/>
        <v>12.082721472403463</v>
      </c>
      <c r="V26" s="24">
        <f t="shared" si="3"/>
        <v>0</v>
      </c>
      <c r="W26" s="24">
        <f t="shared" si="4"/>
        <v>1.2305005099478312</v>
      </c>
      <c r="X26" s="24">
        <f t="shared" si="5"/>
        <v>6.6122641512090699</v>
      </c>
      <c r="Y26" s="24">
        <v>0.92380529642105103</v>
      </c>
      <c r="Z26" s="24">
        <v>0.13285784423351288</v>
      </c>
      <c r="AA26" s="24">
        <f>(1-Data_country[[#This Row],[pro_gas]]/Data_country[[#This Row],[pricon_gas]])*100</f>
        <v>45.603176919593658</v>
      </c>
      <c r="AB26" s="24">
        <f>(1-Data_country[[#This Row],[pro_coal]]/Data_country[[#This Row],[pricon_coal]])*100</f>
        <v>78.039035511979691</v>
      </c>
      <c r="AC26" s="24">
        <f>Data_country[[#This Row],[ic_gas]]+Data_country[[#This Row],[ic_coal]]+Data_country[[#This Row],[ic_other_fossil]]+Data_country[[#This Row],[ic_nuc]]+Data_country[[#This Row],[ic_h2o]]+Data_country[[#This Row],[ic_wind]]+Data_country[[#This Row],[ic_solar]]+Data_country[[#This Row],[ic_bio]]+Data_country[[#This Row],[ic_other_re]]</f>
        <v>56.309999999999988</v>
      </c>
      <c r="AD26" s="24">
        <v>43.94</v>
      </c>
      <c r="AE26" s="24">
        <v>37.799999999999997</v>
      </c>
      <c r="AF26" s="24">
        <v>6.14</v>
      </c>
      <c r="AG26" s="24">
        <v>0</v>
      </c>
      <c r="AH26" s="24">
        <v>0</v>
      </c>
      <c r="AI26" s="24">
        <v>12.37</v>
      </c>
      <c r="AJ26" s="24">
        <v>3.11</v>
      </c>
      <c r="AK26" s="24">
        <v>1.55</v>
      </c>
      <c r="AL26" s="24">
        <v>3.19</v>
      </c>
      <c r="AM26" s="24">
        <v>4.5199999999999996</v>
      </c>
      <c r="AN26" s="24">
        <v>0</v>
      </c>
      <c r="AO26" s="25">
        <f>Data_country[[#This Row],[ic_fossil]]/Data_country[[#This Row],[ic_total]]*100</f>
        <v>78.032321079737173</v>
      </c>
      <c r="AP26" s="25">
        <f>Data_country[[#This Row],[ic_gas]]/Data_country[[#This Row],[ic_total]]*100</f>
        <v>67.12839637719766</v>
      </c>
      <c r="AQ26" s="25">
        <f>Data_country[[#This Row],[ic_coal]]/Data_country[[#This Row],[ic_total]]*100</f>
        <v>10.903924702539515</v>
      </c>
      <c r="AR26" s="25">
        <f>Data_country[[#This Row],[ic_other_fossil]]/Data_country[[#This Row],[ic_total]]*100</f>
        <v>0</v>
      </c>
      <c r="AS26" s="25">
        <f>Data_country[[#This Row],[ic_nuc]]/Data_country[[#This Row],[ic_total]]*100</f>
        <v>0</v>
      </c>
      <c r="AT26" s="25">
        <f>Data_country[[#This Row],[ic_re]]/Data_country[[#This Row],[ic_total]]*100</f>
        <v>21.967678920262834</v>
      </c>
      <c r="AU26" s="25">
        <f>Data_country[[#This Row],[ic_h2o]]/Data_country[[#This Row],[ic_total]]*100</f>
        <v>5.5229976913514482</v>
      </c>
      <c r="AV26" s="25">
        <f>Data_country[[#This Row],[ic_wind]]/Data_country[[#This Row],[ic_total]]*100</f>
        <v>2.752619428165513</v>
      </c>
      <c r="AW26" s="25">
        <f>Data_country[[#This Row],[ic_solar]]/Data_country[[#This Row],[ic_total]]*100</f>
        <v>5.6650683715148293</v>
      </c>
      <c r="AX26" s="25">
        <f>Data_country[[#This Row],[ic_bio]]/Data_country[[#This Row],[ic_total]]*100</f>
        <v>8.0269934292310428</v>
      </c>
      <c r="AY26" s="25">
        <f>Data_country[[#This Row],[ic_other_re]]/Data_country[[#This Row],[ic_total]]*100</f>
        <v>0</v>
      </c>
      <c r="AZ26" s="24">
        <v>190.49</v>
      </c>
      <c r="BA26" s="24">
        <v>160.72</v>
      </c>
      <c r="BB26" s="24">
        <v>129.4</v>
      </c>
      <c r="BC26" s="24">
        <v>30.43</v>
      </c>
      <c r="BD26" s="24">
        <v>0.89</v>
      </c>
      <c r="BE26" s="24">
        <v>0</v>
      </c>
      <c r="BF26" s="24">
        <v>29.77</v>
      </c>
      <c r="BG26" s="24">
        <v>6.59</v>
      </c>
      <c r="BH26" s="24">
        <v>3.61</v>
      </c>
      <c r="BI26" s="24">
        <v>5.42</v>
      </c>
      <c r="BJ26" s="24">
        <v>14.15</v>
      </c>
      <c r="BK26" s="24">
        <v>0</v>
      </c>
      <c r="BL26" s="25">
        <f>Data_country[[#This Row],[gen_fossil]]/Data_country[[#This Row],[gen_total]]*100</f>
        <v>84.371883038479695</v>
      </c>
      <c r="BM26" s="25">
        <f>Data_country[[#This Row],[gen_gas]]/Data_country[[#This Row],[gen_total]]*100</f>
        <v>67.930075069557461</v>
      </c>
      <c r="BN26" s="25">
        <f>Data_country[[#This Row],[gen_coal]]/Data_country[[#This Row],[gen_total]]*100</f>
        <v>15.974591842091449</v>
      </c>
      <c r="BO26" s="25">
        <f>Data_country[[#This Row],[gen_other_fossil]]/Data_country[[#This Row],[gen_total]]*100</f>
        <v>0.46721612683080477</v>
      </c>
      <c r="BP26" s="25">
        <f>Data_country[[#This Row],[gen_nuc]]/Data_country[[#This Row],[gen_total]]*100</f>
        <v>0</v>
      </c>
      <c r="BQ26" s="25">
        <f>Data_country[[#This Row],[gen_re]]/Data_country[[#This Row],[gen_total]]*100</f>
        <v>15.628116961520288</v>
      </c>
      <c r="BR26" s="25">
        <f>Data_country[[#This Row],[gen_h2o]]/Data_country[[#This Row],[gen_total]]*100</f>
        <v>3.4594991863089923</v>
      </c>
      <c r="BS26" s="25">
        <f>Data_country[[#This Row],[gen_wind]]/Data_country[[#This Row],[gen_total]]*100</f>
        <v>1.8951126043361854</v>
      </c>
      <c r="BT26" s="25">
        <f>Data_country[[#This Row],[gen_solar]]/Data_country[[#This Row],[gen_total]]*100</f>
        <v>2.8452937162055747</v>
      </c>
      <c r="BU26" s="25">
        <f>Data_country[[#This Row],[gen_bio]]/Data_country[[#This Row],[gen_total]]*100</f>
        <v>7.4282114546695368</v>
      </c>
      <c r="BV26" s="25">
        <f>Data_country[[#This Row],[gen_other_re]]/Data_country[[#This Row],[gen_total]]*100</f>
        <v>0</v>
      </c>
    </row>
    <row r="27" spans="1:74" s="1" customFormat="1" ht="25.5" customHeight="1" x14ac:dyDescent="0.25">
      <c r="A27" s="23" t="s">
        <v>363</v>
      </c>
      <c r="B27" s="23">
        <v>2021</v>
      </c>
      <c r="C27" s="24">
        <v>819865.253669661</v>
      </c>
      <c r="D27" s="24">
        <v>84.147317999999999</v>
      </c>
      <c r="E27" s="24">
        <f>Data_country[[#This Row],[gdp]]/Data_country[[#This Row],[population]]</f>
        <v>9743.2131309242795</v>
      </c>
      <c r="F27" s="24">
        <v>471.87318892078503</v>
      </c>
      <c r="G27" s="24">
        <f>Data_country[[#This Row],[co2_total]]/Data_country[[#This Row],[population]]</f>
        <v>5.6077032534867604</v>
      </c>
      <c r="H27" s="24">
        <v>150.5</v>
      </c>
      <c r="I27" s="24">
        <f>Data_country[[#This Row],[co2_power_fossil]]/Data_country[[#This Row],[co2_total]]*100</f>
        <v>31.894162146445865</v>
      </c>
      <c r="J27" s="25">
        <f>Data_country[[#This Row],[co2_power_fossil]]/H30*100</f>
        <v>1.1152319941904192</v>
      </c>
      <c r="K27" s="25">
        <v>19.2</v>
      </c>
      <c r="L27" s="24">
        <v>7.0241440031677485</v>
      </c>
      <c r="M27" s="24">
        <v>2.0937764644622803</v>
      </c>
      <c r="N27" s="24">
        <v>2.0631732940673828</v>
      </c>
      <c r="O27" s="24">
        <v>1.7363590002059937</v>
      </c>
      <c r="P27" s="24">
        <v>0</v>
      </c>
      <c r="Q27" s="24">
        <v>0.52683264017105103</v>
      </c>
      <c r="R27" s="24">
        <v>0.60400260426104069</v>
      </c>
      <c r="S27" s="24">
        <f>M27/L27*100</f>
        <v>29.808279322263736</v>
      </c>
      <c r="T27" s="24">
        <f>N27/L27*100</f>
        <v>29.372593915172196</v>
      </c>
      <c r="U27" s="24">
        <f>O27/L27*100</f>
        <v>24.719866213205915</v>
      </c>
      <c r="V27" s="24">
        <f>P27/L27*100</f>
        <v>0</v>
      </c>
      <c r="W27" s="24">
        <f>Q27/L27*100</f>
        <v>7.5003109266191013</v>
      </c>
      <c r="X27" s="24">
        <f>R27/L27*100</f>
        <v>8.5989496227390489</v>
      </c>
      <c r="Y27" s="24"/>
      <c r="Z27" s="24">
        <v>0.7508779764175415</v>
      </c>
      <c r="AA27" s="24"/>
      <c r="AB27" s="24">
        <f>(1-Data_country[[#This Row],[pro_coal]]/Data_country[[#This Row],[pricon_coal]])*100</f>
        <v>56.755603171437429</v>
      </c>
      <c r="AC27" s="24">
        <f>Data_country[[#This Row],[ic_gas]]+Data_country[[#This Row],[ic_coal]]+Data_country[[#This Row],[ic_other_fossil]]+Data_country[[#This Row],[ic_nuc]]+Data_country[[#This Row],[ic_h2o]]+Data_country[[#This Row],[ic_wind]]+Data_country[[#This Row],[ic_solar]]+Data_country[[#This Row],[ic_bio]]+Data_country[[#This Row],[ic_other_re]]</f>
        <v>100.96999999999998</v>
      </c>
      <c r="AD27" s="24">
        <v>47.79</v>
      </c>
      <c r="AE27" s="24">
        <v>27.63</v>
      </c>
      <c r="AF27" s="24">
        <v>19.5</v>
      </c>
      <c r="AG27" s="24">
        <v>0.66</v>
      </c>
      <c r="AH27" s="24">
        <v>0</v>
      </c>
      <c r="AI27" s="24">
        <v>53.18</v>
      </c>
      <c r="AJ27" s="24">
        <v>31.49</v>
      </c>
      <c r="AK27" s="24">
        <v>10.61</v>
      </c>
      <c r="AL27" s="24">
        <v>7.82</v>
      </c>
      <c r="AM27" s="24">
        <v>1.53</v>
      </c>
      <c r="AN27" s="24">
        <v>1.73</v>
      </c>
      <c r="AO27" s="25">
        <f>Data_country[[#This Row],[ic_fossil]]/Data_country[[#This Row],[ic_total]]*100</f>
        <v>47.330890363474303</v>
      </c>
      <c r="AP27" s="25">
        <f>Data_country[[#This Row],[ic_gas]]/Data_country[[#This Row],[ic_total]]*100</f>
        <v>27.364563731801528</v>
      </c>
      <c r="AQ27" s="25">
        <f>Data_country[[#This Row],[ic_coal]]/Data_country[[#This Row],[ic_total]]*100</f>
        <v>19.312667128850155</v>
      </c>
      <c r="AR27" s="25">
        <f>Data_country[[#This Row],[ic_other_fossil]]/Data_country[[#This Row],[ic_total]]*100</f>
        <v>0.65365950282262075</v>
      </c>
      <c r="AS27" s="25">
        <f>Data_country[[#This Row],[ic_nuc]]/Data_country[[#This Row],[ic_total]]*100</f>
        <v>0</v>
      </c>
      <c r="AT27" s="25">
        <f>Data_country[[#This Row],[ic_re]]/Data_country[[#This Row],[ic_total]]*100</f>
        <v>52.669109636525711</v>
      </c>
      <c r="AU27" s="25">
        <f>Data_country[[#This Row],[ic_h2o]]/Data_country[[#This Row],[ic_total]]*100</f>
        <v>31.187481430127761</v>
      </c>
      <c r="AV27" s="25">
        <f>Data_country[[#This Row],[ic_wind]]/Data_country[[#This Row],[ic_total]]*100</f>
        <v>10.508071704466674</v>
      </c>
      <c r="AW27" s="25">
        <f>Data_country[[#This Row],[ic_solar]]/Data_country[[#This Row],[ic_total]]*100</f>
        <v>7.744874715261961</v>
      </c>
      <c r="AX27" s="25">
        <f>Data_country[[#This Row],[ic_bio]]/Data_country[[#This Row],[ic_total]]*100</f>
        <v>1.5153015747251661</v>
      </c>
      <c r="AY27" s="25">
        <f>Data_country[[#This Row],[ic_other_re]]/Data_country[[#This Row],[ic_total]]*100</f>
        <v>1.7133802119441421</v>
      </c>
      <c r="AZ27" s="24">
        <v>327.88</v>
      </c>
      <c r="BA27" s="24">
        <v>211.81</v>
      </c>
      <c r="BB27" s="24">
        <v>107.34</v>
      </c>
      <c r="BC27" s="24">
        <v>104.12</v>
      </c>
      <c r="BD27" s="24">
        <v>0.35</v>
      </c>
      <c r="BE27" s="24">
        <v>0</v>
      </c>
      <c r="BF27" s="24">
        <v>116.07</v>
      </c>
      <c r="BG27" s="24">
        <v>55.51</v>
      </c>
      <c r="BH27" s="24">
        <v>31.02</v>
      </c>
      <c r="BI27" s="24">
        <v>13.28</v>
      </c>
      <c r="BJ27" s="24">
        <v>6.15</v>
      </c>
      <c r="BK27" s="24">
        <v>10.11</v>
      </c>
      <c r="BL27" s="25">
        <f>Data_country[[#This Row],[gen_fossil]]/Data_country[[#This Row],[gen_total]]*100</f>
        <v>64.599853604977426</v>
      </c>
      <c r="BM27" s="25">
        <f>Data_country[[#This Row],[gen_gas]]/Data_country[[#This Row],[gen_total]]*100</f>
        <v>32.737586922044656</v>
      </c>
      <c r="BN27" s="25">
        <f>Data_country[[#This Row],[gen_coal]]/Data_country[[#This Row],[gen_total]]*100</f>
        <v>31.755520312309383</v>
      </c>
      <c r="BO27" s="25">
        <f>Data_country[[#This Row],[gen_other_fossil]]/Data_country[[#This Row],[gen_total]]*100</f>
        <v>0.1067463706233988</v>
      </c>
      <c r="BP27" s="25">
        <f>Data_country[[#This Row],[gen_nuc]]/Data_country[[#This Row],[gen_total]]*100</f>
        <v>0</v>
      </c>
      <c r="BQ27" s="25">
        <f>Data_country[[#This Row],[gen_re]]/Data_country[[#This Row],[gen_total]]*100</f>
        <v>35.400146395022567</v>
      </c>
      <c r="BR27" s="25">
        <f>Data_country[[#This Row],[gen_h2o]]/Data_country[[#This Row],[gen_total]]*100</f>
        <v>16.929974380871048</v>
      </c>
      <c r="BS27" s="25">
        <f>Data_country[[#This Row],[gen_wind]]/Data_country[[#This Row],[gen_total]]*100</f>
        <v>9.4607783335366591</v>
      </c>
      <c r="BT27" s="25">
        <f>Data_country[[#This Row],[gen_solar]]/Data_country[[#This Row],[gen_total]]*100</f>
        <v>4.0502622910821033</v>
      </c>
      <c r="BU27" s="25">
        <f>Data_country[[#This Row],[gen_bio]]/Data_country[[#This Row],[gen_total]]*100</f>
        <v>1.8756862266682934</v>
      </c>
      <c r="BV27" s="25">
        <f>Data_country[[#This Row],[gen_other_re]]/Data_country[[#This Row],[gen_total]]*100</f>
        <v>3.0834451628644626</v>
      </c>
    </row>
    <row r="28" spans="1:74" s="1" customFormat="1" ht="25.4" customHeight="1" x14ac:dyDescent="0.25">
      <c r="A28" s="23" t="s">
        <v>363</v>
      </c>
      <c r="B28" s="23">
        <v>2022</v>
      </c>
      <c r="C28" s="24">
        <v>907118.43595268799</v>
      </c>
      <c r="D28" s="24">
        <v>84.979912999999996</v>
      </c>
      <c r="E28" s="24">
        <f>Data_country[[#This Row],[gdp]]/Data_country[[#This Row],[population]]</f>
        <v>10674.504173153107</v>
      </c>
      <c r="F28" s="24">
        <v>463.972252147272</v>
      </c>
      <c r="G28" s="24">
        <f>Data_country[[#This Row],[co2_total]]/Data_country[[#This Row],[population]]</f>
        <v>5.4597873281803908</v>
      </c>
      <c r="H28" s="24">
        <v>142.53</v>
      </c>
      <c r="I28" s="24">
        <f>Data_country[[#This Row],[co2_power_fossil]]/Data_country[[#This Row],[co2_total]]*100</f>
        <v>30.719509483674635</v>
      </c>
      <c r="J28" s="25">
        <f>Data_country[[#This Row],[co2_power_fossil]]/H31*100</f>
        <v>1.0426138130054241</v>
      </c>
      <c r="K28" s="25">
        <v>19.5</v>
      </c>
      <c r="L28" s="24">
        <v>7.0996253488119692</v>
      </c>
      <c r="M28" s="24">
        <v>2.1832308769226074</v>
      </c>
      <c r="N28" s="24">
        <v>1.8448688983917236</v>
      </c>
      <c r="O28" s="24">
        <v>1.7593256235122681</v>
      </c>
      <c r="P28" s="24">
        <v>0</v>
      </c>
      <c r="Q28" s="24">
        <v>0.62698721885681152</v>
      </c>
      <c r="R28" s="24">
        <v>0.68521273112855852</v>
      </c>
      <c r="S28" s="24">
        <f>M28/L28*100</f>
        <v>30.751353341313187</v>
      </c>
      <c r="T28" s="24">
        <f>N28/L28*100</f>
        <v>25.985440185240744</v>
      </c>
      <c r="U28" s="24">
        <f>O28/L28*100</f>
        <v>24.780541747976443</v>
      </c>
      <c r="V28" s="24">
        <f>P28/L28*100</f>
        <v>0</v>
      </c>
      <c r="W28" s="24">
        <f>Q28/L28*100</f>
        <v>8.8312719059426108</v>
      </c>
      <c r="X28" s="24">
        <f>R28/L28*100</f>
        <v>9.65139281952702</v>
      </c>
      <c r="Y28" s="24"/>
      <c r="Z28" s="24">
        <v>0.82547956705093384</v>
      </c>
      <c r="AA28" s="24"/>
      <c r="AB28" s="24">
        <f>(1-Data_country[[#This Row],[pro_coal]]/Data_country[[#This Row],[pricon_coal]])*100</f>
        <v>53.079773521233122</v>
      </c>
      <c r="AC28" s="24">
        <f>Data_country[[#This Row],[ic_gas]]+Data_country[[#This Row],[ic_coal]]+Data_country[[#This Row],[ic_other_fossil]]+Data_country[[#This Row],[ic_nuc]]+Data_country[[#This Row],[ic_h2o]]+Data_country[[#This Row],[ic_wind]]+Data_country[[#This Row],[ic_solar]]+Data_country[[#This Row],[ic_bio]]+Data_country[[#This Row],[ic_other_re]]</f>
        <v>105.12</v>
      </c>
      <c r="AD28" s="24">
        <v>49.16</v>
      </c>
      <c r="AE28" s="24">
        <v>27.63</v>
      </c>
      <c r="AF28" s="24">
        <v>20.87</v>
      </c>
      <c r="AG28" s="24">
        <v>0.66</v>
      </c>
      <c r="AH28" s="24">
        <v>0</v>
      </c>
      <c r="AI28" s="24">
        <v>55.96</v>
      </c>
      <c r="AJ28" s="24">
        <v>31.57</v>
      </c>
      <c r="AK28" s="24">
        <v>11.4</v>
      </c>
      <c r="AL28" s="24">
        <v>9.43</v>
      </c>
      <c r="AM28" s="24">
        <v>1.81</v>
      </c>
      <c r="AN28" s="24">
        <v>1.75</v>
      </c>
      <c r="AO28" s="25">
        <f>Data_country[[#This Row],[ic_fossil]]/Data_country[[#This Row],[ic_total]]*100</f>
        <v>46.765601217656005</v>
      </c>
      <c r="AP28" s="25">
        <f>Data_country[[#This Row],[ic_gas]]/Data_country[[#This Row],[ic_total]]*100</f>
        <v>26.284246575342461</v>
      </c>
      <c r="AQ28" s="25">
        <f>Data_country[[#This Row],[ic_coal]]/Data_country[[#This Row],[ic_total]]*100</f>
        <v>19.853500761035008</v>
      </c>
      <c r="AR28" s="25">
        <f>Data_country[[#This Row],[ic_other_fossil]]/Data_country[[#This Row],[ic_total]]*100</f>
        <v>0.62785388127853881</v>
      </c>
      <c r="AS28" s="25">
        <f>Data_country[[#This Row],[ic_nuc]]/Data_country[[#This Row],[ic_total]]*100</f>
        <v>0</v>
      </c>
      <c r="AT28" s="25">
        <f>Data_country[[#This Row],[ic_re]]/Data_country[[#This Row],[ic_total]]*100</f>
        <v>53.23439878234398</v>
      </c>
      <c r="AU28" s="25">
        <f>Data_country[[#This Row],[ic_h2o]]/Data_country[[#This Row],[ic_total]]*100</f>
        <v>30.032343987823438</v>
      </c>
      <c r="AV28" s="25">
        <f>Data_country[[#This Row],[ic_wind]]/Data_country[[#This Row],[ic_total]]*100</f>
        <v>10.844748858447488</v>
      </c>
      <c r="AW28" s="25">
        <f>Data_country[[#This Row],[ic_solar]]/Data_country[[#This Row],[ic_total]]*100</f>
        <v>8.9707001522070016</v>
      </c>
      <c r="AX28" s="25">
        <f>Data_country[[#This Row],[ic_bio]]/Data_country[[#This Row],[ic_total]]*100</f>
        <v>1.7218417047184169</v>
      </c>
      <c r="AY28" s="25">
        <f>Data_country[[#This Row],[ic_other_re]]/Data_country[[#This Row],[ic_total]]*100</f>
        <v>1.6647640791476408</v>
      </c>
      <c r="AZ28" s="24">
        <v>320.56</v>
      </c>
      <c r="BA28" s="24">
        <v>186.21</v>
      </c>
      <c r="BB28" s="24">
        <v>71.86</v>
      </c>
      <c r="BC28" s="24">
        <v>113.62</v>
      </c>
      <c r="BD28" s="24">
        <v>0.73</v>
      </c>
      <c r="BE28" s="24">
        <v>0</v>
      </c>
      <c r="BF28" s="24">
        <v>134.35</v>
      </c>
      <c r="BG28" s="24">
        <v>66.66</v>
      </c>
      <c r="BH28" s="24">
        <v>34.69</v>
      </c>
      <c r="BI28" s="24">
        <v>15.16</v>
      </c>
      <c r="BJ28" s="24">
        <v>7.62</v>
      </c>
      <c r="BK28" s="24">
        <v>10.220000000000001</v>
      </c>
      <c r="BL28" s="25">
        <f>Data_country[[#This Row],[gen_fossil]]/Data_country[[#This Row],[gen_total]]*100</f>
        <v>58.0889693037185</v>
      </c>
      <c r="BM28" s="25">
        <f>Data_country[[#This Row],[gen_gas]]/Data_country[[#This Row],[gen_total]]*100</f>
        <v>22.417020214624404</v>
      </c>
      <c r="BN28" s="25">
        <f>Data_country[[#This Row],[gen_coal]]/Data_country[[#This Row],[gen_total]]*100</f>
        <v>35.444222610431744</v>
      </c>
      <c r="BO28" s="25">
        <f>Data_country[[#This Row],[gen_other_fossil]]/Data_country[[#This Row],[gen_total]]*100</f>
        <v>0.22772647866234089</v>
      </c>
      <c r="BP28" s="25">
        <f>Data_country[[#This Row],[gen_nuc]]/Data_country[[#This Row],[gen_total]]*100</f>
        <v>0</v>
      </c>
      <c r="BQ28" s="25">
        <f>Data_country[[#This Row],[gen_re]]/Data_country[[#This Row],[gen_total]]*100</f>
        <v>41.9110306962815</v>
      </c>
      <c r="BR28" s="25">
        <f>Data_country[[#This Row],[gen_h2o]]/Data_country[[#This Row],[gen_total]]*100</f>
        <v>20.794858996755679</v>
      </c>
      <c r="BS28" s="25">
        <f>Data_country[[#This Row],[gen_wind]]/Data_country[[#This Row],[gen_total]]*100</f>
        <v>10.821687047666583</v>
      </c>
      <c r="BT28" s="25">
        <f>Data_country[[#This Row],[gen_solar]]/Data_country[[#This Row],[gen_total]]*100</f>
        <v>4.7292238582480657</v>
      </c>
      <c r="BU28" s="25">
        <f>Data_country[[#This Row],[gen_bio]]/Data_country[[#This Row],[gen_total]]*100</f>
        <v>2.377090092338408</v>
      </c>
      <c r="BV28" s="25">
        <f>Data_country[[#This Row],[gen_other_re]]/Data_country[[#This Row],[gen_total]]*100</f>
        <v>3.1881707012727731</v>
      </c>
    </row>
    <row r="29" spans="1:74" s="1" customFormat="1" ht="25.25" customHeight="1" x14ac:dyDescent="0.25">
      <c r="A29" s="23" t="s">
        <v>363</v>
      </c>
      <c r="B29" s="23">
        <v>2023</v>
      </c>
      <c r="C29" s="24">
        <v>1108022.3732595099</v>
      </c>
      <c r="D29" s="24">
        <v>85.325999999999993</v>
      </c>
      <c r="E29" s="24">
        <f>Data_country[[#This Row],[gdp]]/Data_country[[#This Row],[population]]</f>
        <v>12985.753149796194</v>
      </c>
      <c r="F29" s="24">
        <v>457.13157478440598</v>
      </c>
      <c r="G29" s="24">
        <f>Data_country[[#This Row],[co2_total]]/Data_country[[#This Row],[population]]</f>
        <v>5.3574710496730891</v>
      </c>
      <c r="H29" s="24">
        <v>143.72999999999999</v>
      </c>
      <c r="I29" s="24">
        <f>Data_country[[#This Row],[co2_power_fossil]]/Data_country[[#This Row],[co2_total]]*100</f>
        <v>31.441713486491597</v>
      </c>
      <c r="J29" s="25">
        <f>Data_country[[#This Row],[co2_power_fossil]]/H32*100</f>
        <v>1.0372801652373662</v>
      </c>
      <c r="K29" s="25">
        <v>19</v>
      </c>
      <c r="L29" s="24">
        <v>7.0030765946721658</v>
      </c>
      <c r="M29" s="24">
        <v>2.3008098602294922</v>
      </c>
      <c r="N29" s="24">
        <v>1.7434566020965576</v>
      </c>
      <c r="O29" s="24">
        <v>1.649153470993042</v>
      </c>
      <c r="P29" s="24">
        <v>0</v>
      </c>
      <c r="Q29" s="24">
        <v>0.59713804721832275</v>
      </c>
      <c r="R29" s="24">
        <v>0.71251861413475126</v>
      </c>
      <c r="S29" s="24">
        <f>M29/L29*100</f>
        <v>32.854272391935758</v>
      </c>
      <c r="T29" s="24">
        <f>N29/L29*100</f>
        <v>24.89558094256677</v>
      </c>
      <c r="U29" s="24">
        <f>O29/L29*100</f>
        <v>23.54898520241365</v>
      </c>
      <c r="V29" s="24">
        <f>P29/L29*100</f>
        <v>0</v>
      </c>
      <c r="W29" s="24">
        <f>Q29/L29*100</f>
        <v>8.5267958895753946</v>
      </c>
      <c r="X29" s="24">
        <f>R29/L29*100</f>
        <v>10.174365573508428</v>
      </c>
      <c r="Y29" s="24"/>
      <c r="Z29" s="24">
        <v>0.58064961433410645</v>
      </c>
      <c r="AA29" s="24"/>
      <c r="AB29" s="24">
        <f>(1-Data_country[[#This Row],[pro_coal]]/Data_country[[#This Row],[pricon_coal]])*100</f>
        <v>64.791050405729251</v>
      </c>
      <c r="AC29" s="24">
        <f>Data_country[[#This Row],[ic_gas]]+Data_country[[#This Row],[ic_coal]]+Data_country[[#This Row],[ic_other_fossil]]+Data_country[[#This Row],[ic_nuc]]+Data_country[[#This Row],[ic_h2o]]+Data_country[[#This Row],[ic_wind]]+Data_country[[#This Row],[ic_solar]]+Data_country[[#This Row],[ic_bio]]+Data_country[[#This Row],[ic_other_re]]</f>
        <v>107.63000000000001</v>
      </c>
      <c r="AD29" s="24">
        <v>49.16</v>
      </c>
      <c r="AE29" s="24">
        <v>27.63</v>
      </c>
      <c r="AF29" s="24">
        <v>20.87</v>
      </c>
      <c r="AG29" s="24">
        <v>0.66</v>
      </c>
      <c r="AH29" s="24">
        <v>0</v>
      </c>
      <c r="AI29" s="24">
        <v>58.47</v>
      </c>
      <c r="AJ29" s="24">
        <v>31.78</v>
      </c>
      <c r="AK29" s="24">
        <v>11.7</v>
      </c>
      <c r="AL29" s="24">
        <v>11.29</v>
      </c>
      <c r="AM29" s="24">
        <v>1.95</v>
      </c>
      <c r="AN29" s="24">
        <v>1.75</v>
      </c>
      <c r="AO29" s="25">
        <f>Data_country[[#This Row],[ic_fossil]]/Data_country[[#This Row],[ic_total]]*100</f>
        <v>45.67499767722753</v>
      </c>
      <c r="AP29" s="25">
        <f>Data_country[[#This Row],[ic_gas]]/Data_country[[#This Row],[ic_total]]*100</f>
        <v>25.671281241289602</v>
      </c>
      <c r="AQ29" s="25">
        <f>Data_country[[#This Row],[ic_coal]]/Data_country[[#This Row],[ic_total]]*100</f>
        <v>19.390504506178573</v>
      </c>
      <c r="AR29" s="25">
        <f>Data_country[[#This Row],[ic_other_fossil]]/Data_country[[#This Row],[ic_total]]*100</f>
        <v>0.61321192975936079</v>
      </c>
      <c r="AS29" s="25">
        <f>Data_country[[#This Row],[ic_nuc]]/Data_country[[#This Row],[ic_total]]*100</f>
        <v>0</v>
      </c>
      <c r="AT29" s="25">
        <f>Data_country[[#This Row],[ic_re]]/Data_country[[#This Row],[ic_total]]*100</f>
        <v>54.325002322772455</v>
      </c>
      <c r="AU29" s="25">
        <f>Data_country[[#This Row],[ic_h2o]]/Data_country[[#This Row],[ic_total]]*100</f>
        <v>29.527083526897702</v>
      </c>
      <c r="AV29" s="25">
        <f>Data_country[[#This Row],[ic_wind]]/Data_country[[#This Row],[ic_total]]*100</f>
        <v>10.870575118461394</v>
      </c>
      <c r="AW29" s="25">
        <f>Data_country[[#This Row],[ic_solar]]/Data_country[[#This Row],[ic_total]]*100</f>
        <v>10.489640434823002</v>
      </c>
      <c r="AX29" s="25">
        <f>Data_country[[#This Row],[ic_bio]]/Data_country[[#This Row],[ic_total]]*100</f>
        <v>1.8117625197435656</v>
      </c>
      <c r="AY29" s="25">
        <f>Data_country[[#This Row],[ic_other_re]]/Data_country[[#This Row],[ic_total]]*100</f>
        <v>1.6259407228467897</v>
      </c>
      <c r="AZ29" s="24">
        <v>319.79000000000002</v>
      </c>
      <c r="BA29" s="24">
        <v>185.45</v>
      </c>
      <c r="BB29" s="24">
        <v>66.48</v>
      </c>
      <c r="BC29" s="24">
        <v>118.03</v>
      </c>
      <c r="BD29" s="24">
        <v>0.94</v>
      </c>
      <c r="BE29" s="24">
        <v>0</v>
      </c>
      <c r="BF29" s="24">
        <v>134.34</v>
      </c>
      <c r="BG29" s="24">
        <v>63.72</v>
      </c>
      <c r="BH29" s="24">
        <v>33.880000000000003</v>
      </c>
      <c r="BI29" s="24">
        <v>18.399999999999999</v>
      </c>
      <c r="BJ29" s="24">
        <v>8.2100000000000009</v>
      </c>
      <c r="BK29" s="24">
        <v>10.130000000000001</v>
      </c>
      <c r="BL29" s="25">
        <f>Data_country[[#This Row],[gen_fossil]]/Data_country[[#This Row],[gen_total]]*100</f>
        <v>57.99118171299915</v>
      </c>
      <c r="BM29" s="25">
        <f>Data_country[[#This Row],[gen_gas]]/Data_country[[#This Row],[gen_total]]*100</f>
        <v>20.788642546671252</v>
      </c>
      <c r="BN29" s="25">
        <f>Data_country[[#This Row],[gen_coal]]/Data_country[[#This Row],[gen_total]]*100</f>
        <v>36.90859626629976</v>
      </c>
      <c r="BO29" s="25">
        <f>Data_country[[#This Row],[gen_other_fossil]]/Data_country[[#This Row],[gen_total]]*100</f>
        <v>0.29394290002814344</v>
      </c>
      <c r="BP29" s="25">
        <f>Data_country[[#This Row],[gen_nuc]]/Data_country[[#This Row],[gen_total]]*100</f>
        <v>0</v>
      </c>
      <c r="BQ29" s="25">
        <f>Data_country[[#This Row],[gen_re]]/Data_country[[#This Row],[gen_total]]*100</f>
        <v>42.008818287000842</v>
      </c>
      <c r="BR29" s="25">
        <f>Data_country[[#This Row],[gen_h2o]]/Data_country[[#This Row],[gen_total]]*100</f>
        <v>19.925576159354573</v>
      </c>
      <c r="BS29" s="25">
        <f>Data_country[[#This Row],[gen_wind]]/Data_country[[#This Row],[gen_total]]*100</f>
        <v>10.594452609525002</v>
      </c>
      <c r="BT29" s="25">
        <f>Data_country[[#This Row],[gen_solar]]/Data_country[[#This Row],[gen_total]]*100</f>
        <v>5.7537759154445096</v>
      </c>
      <c r="BU29" s="25">
        <f>Data_country[[#This Row],[gen_bio]]/Data_country[[#This Row],[gen_total]]*100</f>
        <v>2.5673097970543171</v>
      </c>
      <c r="BV29" s="25">
        <f>Data_country[[#This Row],[gen_other_re]]/Data_country[[#This Row],[gen_total]]*100</f>
        <v>3.1677038056224398</v>
      </c>
    </row>
    <row r="30" spans="1:74" s="1" customFormat="1" ht="25.5" customHeight="1" x14ac:dyDescent="0.25">
      <c r="A30" s="23" t="s">
        <v>324</v>
      </c>
      <c r="B30" s="23">
        <v>2021</v>
      </c>
      <c r="C30" s="24">
        <v>97527032.8819011</v>
      </c>
      <c r="D30" s="24">
        <v>7888.9638210000003</v>
      </c>
      <c r="E30" s="24">
        <f>Data_country[[#This Row],[gdp]]/Data_country[[#This Row],[population]]</f>
        <v>12362.46420883429</v>
      </c>
      <c r="F30" s="24">
        <v>39071.114694613403</v>
      </c>
      <c r="G30" s="24">
        <f>Data_country[[#This Row],[co2_total]]/Data_country[[#This Row],[population]]</f>
        <v>4.9526294683476912</v>
      </c>
      <c r="H30" s="24">
        <v>13494.95</v>
      </c>
      <c r="I30" s="24">
        <f>Data_country[[#This Row],[co2_power_fossil]]/Data_country[[#This Row],[co2_total]]*100</f>
        <v>34.539454800506377</v>
      </c>
      <c r="J30" s="25" t="s">
        <v>354</v>
      </c>
      <c r="K30" s="25"/>
      <c r="L30" s="24">
        <v>596.62452788011763</v>
      </c>
      <c r="M30" s="24">
        <v>185.50978653940547</v>
      </c>
      <c r="N30" s="24">
        <v>144.86046148359583</v>
      </c>
      <c r="O30" s="24">
        <v>160.56029079177054</v>
      </c>
      <c r="P30" s="24">
        <v>25.333451399579644</v>
      </c>
      <c r="Q30" s="24">
        <v>40.400870928715619</v>
      </c>
      <c r="R30" s="24">
        <v>39.95966673705054</v>
      </c>
      <c r="S30" s="24">
        <f t="shared" si="0"/>
        <v>31.093221594248767</v>
      </c>
      <c r="T30" s="24">
        <f t="shared" si="1"/>
        <v>24.280004377007991</v>
      </c>
      <c r="U30" s="24">
        <f t="shared" si="2"/>
        <v>26.911446527728511</v>
      </c>
      <c r="V30" s="24">
        <f t="shared" si="3"/>
        <v>4.2461297207462456</v>
      </c>
      <c r="W30" s="24">
        <f t="shared" si="4"/>
        <v>6.7715739197422913</v>
      </c>
      <c r="X30" s="24">
        <f t="shared" si="5"/>
        <v>6.6976238605261988</v>
      </c>
      <c r="Y30" s="24">
        <v>145.57337017318241</v>
      </c>
      <c r="Z30" s="24">
        <v>162.72885148516616</v>
      </c>
      <c r="AA30" s="24" t="s">
        <v>354</v>
      </c>
      <c r="AB30" s="24" t="s">
        <v>354</v>
      </c>
      <c r="AC30" s="24">
        <f>Data_country[[#This Row],[ic_gas]]+Data_country[[#This Row],[ic_coal]]+Data_country[[#This Row],[ic_other_fossil]]+Data_country[[#This Row],[ic_nuc]]+Data_country[[#This Row],[ic_h2o]]+Data_country[[#This Row],[ic_wind]]+Data_country[[#This Row],[ic_solar]]+Data_country[[#This Row],[ic_bio]]+Data_country[[#This Row],[ic_other_re]]</f>
        <v>7800.65</v>
      </c>
      <c r="AD30" s="24">
        <v>4309.95</v>
      </c>
      <c r="AE30" s="24">
        <v>1923.81</v>
      </c>
      <c r="AF30" s="24">
        <v>2084.94</v>
      </c>
      <c r="AG30" s="24">
        <v>301.2</v>
      </c>
      <c r="AH30" s="24">
        <v>401.9</v>
      </c>
      <c r="AI30" s="24">
        <v>3088.8</v>
      </c>
      <c r="AJ30" s="24">
        <v>1235.8800000000001</v>
      </c>
      <c r="AK30" s="24">
        <v>824.6</v>
      </c>
      <c r="AL30" s="24">
        <v>873.86</v>
      </c>
      <c r="AM30" s="24">
        <v>120.49</v>
      </c>
      <c r="AN30" s="24">
        <v>33.97</v>
      </c>
      <c r="AO30" s="25">
        <f>Data_country[[#This Row],[ic_fossil]]/Data_country[[#This Row],[ic_total]]*100</f>
        <v>55.251164967021978</v>
      </c>
      <c r="AP30" s="25">
        <f>Data_country[[#This Row],[ic_gas]]/Data_country[[#This Row],[ic_total]]*100</f>
        <v>24.662175587931774</v>
      </c>
      <c r="AQ30" s="25">
        <f>Data_country[[#This Row],[ic_coal]]/Data_country[[#This Row],[ic_total]]*100</f>
        <v>26.727772685609537</v>
      </c>
      <c r="AR30" s="25">
        <f>Data_country[[#This Row],[ic_other_fossil]]/Data_country[[#This Row],[ic_total]]*100</f>
        <v>3.8612166934806713</v>
      </c>
      <c r="AS30" s="25">
        <f>Data_country[[#This Row],[ic_nuc]]/Data_country[[#This Row],[ic_total]]*100</f>
        <v>5.1521347580009351</v>
      </c>
      <c r="AT30" s="25">
        <f>Data_country[[#This Row],[ic_re]]/Data_country[[#This Row],[ic_total]]*100</f>
        <v>39.596700274977088</v>
      </c>
      <c r="AU30" s="25">
        <f>Data_country[[#This Row],[ic_h2o]]/Data_country[[#This Row],[ic_total]]*100</f>
        <v>15.843295110022884</v>
      </c>
      <c r="AV30" s="25">
        <f>Data_country[[#This Row],[ic_wind]]/Data_country[[#This Row],[ic_total]]*100</f>
        <v>10.570913962298015</v>
      </c>
      <c r="AW30" s="25">
        <f>Data_country[[#This Row],[ic_solar]]/Data_country[[#This Row],[ic_total]]*100</f>
        <v>11.202399800016666</v>
      </c>
      <c r="AX30" s="25">
        <f>Data_country[[#This Row],[ic_bio]]/Data_country[[#This Row],[ic_total]]*100</f>
        <v>1.5446148718376032</v>
      </c>
      <c r="AY30" s="25">
        <f>Data_country[[#This Row],[ic_other_re]]/Data_country[[#This Row],[ic_total]]*100</f>
        <v>0.43547653080192039</v>
      </c>
      <c r="AZ30" s="24">
        <v>28194.98</v>
      </c>
      <c r="BA30" s="24">
        <v>17504.28</v>
      </c>
      <c r="BB30" s="24">
        <v>6524.41</v>
      </c>
      <c r="BC30" s="24">
        <v>10157.450000000001</v>
      </c>
      <c r="BD30" s="24">
        <v>822.42</v>
      </c>
      <c r="BE30" s="24">
        <v>2762.24</v>
      </c>
      <c r="BF30" s="24">
        <v>7928.46</v>
      </c>
      <c r="BG30" s="24">
        <v>4275.57</v>
      </c>
      <c r="BH30" s="24">
        <v>1854.56</v>
      </c>
      <c r="BI30" s="24">
        <v>1048.45</v>
      </c>
      <c r="BJ30" s="24">
        <v>662.63</v>
      </c>
      <c r="BK30" s="24">
        <v>87.25</v>
      </c>
      <c r="BL30" s="25">
        <f>Data_country[[#This Row],[gen_fossil]]/Data_country[[#This Row],[gen_total]]*100</f>
        <v>62.082966542271002</v>
      </c>
      <c r="BM30" s="25">
        <f>Data_country[[#This Row],[gen_gas]]/Data_country[[#This Row],[gen_total]]*100</f>
        <v>23.140324979836834</v>
      </c>
      <c r="BN30" s="25">
        <f>Data_country[[#This Row],[gen_coal]]/Data_country[[#This Row],[gen_total]]*100</f>
        <v>36.025739333739551</v>
      </c>
      <c r="BO30" s="25">
        <f>Data_country[[#This Row],[gen_other_fossil]]/Data_country[[#This Row],[gen_total]]*100</f>
        <v>2.9169022286946116</v>
      </c>
      <c r="BP30" s="25">
        <f>Data_country[[#This Row],[gen_nuc]]/Data_country[[#This Row],[gen_total]]*100</f>
        <v>9.7969212959186347</v>
      </c>
      <c r="BQ30" s="25">
        <f>Data_country[[#This Row],[gen_re]]/Data_country[[#This Row],[gen_total]]*100</f>
        <v>28.120112161810368</v>
      </c>
      <c r="BR30" s="25">
        <f>Data_country[[#This Row],[gen_h2o]]/Data_country[[#This Row],[gen_total]]*100</f>
        <v>15.164295204323604</v>
      </c>
      <c r="BS30" s="25">
        <f>Data_country[[#This Row],[gen_wind]]/Data_country[[#This Row],[gen_total]]*100</f>
        <v>6.5776248112252604</v>
      </c>
      <c r="BT30" s="25">
        <f>Data_country[[#This Row],[gen_solar]]/Data_country[[#This Row],[gen_total]]*100</f>
        <v>3.7185697595813161</v>
      </c>
      <c r="BU30" s="25">
        <f>Data_country[[#This Row],[gen_bio]]/Data_country[[#This Row],[gen_total]]*100</f>
        <v>2.3501701366697194</v>
      </c>
      <c r="BV30" s="25">
        <f>Data_country[[#This Row],[gen_other_re]]/Data_country[[#This Row],[gen_total]]*100</f>
        <v>0.30945225001046284</v>
      </c>
    </row>
    <row r="31" spans="1:74" s="1" customFormat="1" ht="25.5" customHeight="1" x14ac:dyDescent="0.25">
      <c r="A31" s="23" t="s">
        <v>324</v>
      </c>
      <c r="B31" s="23">
        <v>2022</v>
      </c>
      <c r="C31" s="24">
        <v>101225059.591363</v>
      </c>
      <c r="D31" s="24">
        <v>7951.5954330000004</v>
      </c>
      <c r="E31" s="24">
        <f>Data_country[[#This Row],[gdp]]/Data_country[[#This Row],[population]]</f>
        <v>12730.157167109861</v>
      </c>
      <c r="F31" s="24">
        <v>39587.990781730303</v>
      </c>
      <c r="G31" s="24">
        <f>Data_country[[#This Row],[co2_total]]/Data_country[[#This Row],[population]]</f>
        <v>4.9786223551358963</v>
      </c>
      <c r="H31" s="24">
        <v>13670.45</v>
      </c>
      <c r="I31" s="24">
        <f>Data_country[[#This Row],[co2_power_fossil]]/Data_country[[#This Row],[co2_total]]*100</f>
        <v>34.531810607344234</v>
      </c>
      <c r="J31" s="25" t="s">
        <v>354</v>
      </c>
      <c r="K31" s="25">
        <v>20.5</v>
      </c>
      <c r="L31" s="24">
        <v>607.34952864540526</v>
      </c>
      <c r="M31" s="24">
        <v>191.61661998822092</v>
      </c>
      <c r="N31" s="24">
        <v>144.31276422042356</v>
      </c>
      <c r="O31" s="24">
        <v>161.52884324480033</v>
      </c>
      <c r="P31" s="24">
        <v>24.133946623653173</v>
      </c>
      <c r="Q31" s="24">
        <v>40.578501032370923</v>
      </c>
      <c r="R31" s="24">
        <v>45.178853535936383</v>
      </c>
      <c r="S31" s="24">
        <f t="shared" si="0"/>
        <v>31.549644965657709</v>
      </c>
      <c r="T31" s="24">
        <f t="shared" si="1"/>
        <v>23.761072893608695</v>
      </c>
      <c r="U31" s="24">
        <f t="shared" si="2"/>
        <v>26.595697473424281</v>
      </c>
      <c r="V31" s="24">
        <f t="shared" si="3"/>
        <v>3.9736503422469158</v>
      </c>
      <c r="W31" s="24">
        <f t="shared" si="4"/>
        <v>6.6812435209877741</v>
      </c>
      <c r="X31" s="24">
        <f t="shared" si="5"/>
        <v>7.438690804074632</v>
      </c>
      <c r="Y31" s="24">
        <v>145.75000363672916</v>
      </c>
      <c r="Z31" s="24">
        <v>174.08891315929941</v>
      </c>
      <c r="AA31" s="24" t="s">
        <v>354</v>
      </c>
      <c r="AB31" s="24" t="s">
        <v>354</v>
      </c>
      <c r="AC31" s="24">
        <f>Data_country[[#This Row],[ic_gas]]+Data_country[[#This Row],[ic_coal]]+Data_country[[#This Row],[ic_other_fossil]]+Data_country[[#This Row],[ic_nuc]]+Data_country[[#This Row],[ic_h2o]]+Data_country[[#This Row],[ic_wind]]+Data_country[[#This Row],[ic_solar]]+Data_country[[#This Row],[ic_bio]]+Data_country[[#This Row],[ic_other_re]]</f>
        <v>8173.8500000000013</v>
      </c>
      <c r="AD31" s="24">
        <v>4376</v>
      </c>
      <c r="AE31" s="24">
        <v>1969.31</v>
      </c>
      <c r="AF31" s="24">
        <v>2105.46</v>
      </c>
      <c r="AG31" s="24">
        <v>301.23</v>
      </c>
      <c r="AH31" s="24">
        <v>401.52</v>
      </c>
      <c r="AI31" s="24">
        <v>3396.33</v>
      </c>
      <c r="AJ31" s="24">
        <v>1260.8800000000001</v>
      </c>
      <c r="AK31" s="24">
        <v>901.23</v>
      </c>
      <c r="AL31" s="24">
        <v>1073.1400000000001</v>
      </c>
      <c r="AM31" s="24">
        <v>125.51</v>
      </c>
      <c r="AN31" s="24">
        <v>35.57</v>
      </c>
      <c r="AO31" s="25">
        <f>Data_country[[#This Row],[ic_fossil]]/Data_country[[#This Row],[ic_total]]*100</f>
        <v>53.536583127901771</v>
      </c>
      <c r="AP31" s="25">
        <f>Data_country[[#This Row],[ic_gas]]/Data_country[[#This Row],[ic_total]]*100</f>
        <v>24.092808162616144</v>
      </c>
      <c r="AQ31" s="25">
        <f>Data_country[[#This Row],[ic_coal]]/Data_country[[#This Row],[ic_total]]*100</f>
        <v>25.758485903215739</v>
      </c>
      <c r="AR31" s="25">
        <f>Data_country[[#This Row],[ic_other_fossil]]/Data_country[[#This Row],[ic_total]]*100</f>
        <v>3.6852890620698937</v>
      </c>
      <c r="AS31" s="25">
        <f>Data_country[[#This Row],[ic_nuc]]/Data_country[[#This Row],[ic_total]]*100</f>
        <v>4.9122506529970567</v>
      </c>
      <c r="AT31" s="25">
        <f>Data_country[[#This Row],[ic_re]]/Data_country[[#This Row],[ic_total]]*100</f>
        <v>41.551166219101148</v>
      </c>
      <c r="AU31" s="25">
        <f>Data_country[[#This Row],[ic_h2o]]/Data_country[[#This Row],[ic_total]]*100</f>
        <v>15.425778549887751</v>
      </c>
      <c r="AV31" s="25">
        <f>Data_country[[#This Row],[ic_wind]]/Data_country[[#This Row],[ic_total]]*100</f>
        <v>11.025771209405603</v>
      </c>
      <c r="AW31" s="25">
        <f>Data_country[[#This Row],[ic_solar]]/Data_country[[#This Row],[ic_total]]*100</f>
        <v>13.128941685986407</v>
      </c>
      <c r="AX31" s="25">
        <f>Data_country[[#This Row],[ic_bio]]/Data_country[[#This Row],[ic_total]]*100</f>
        <v>1.5355065238535084</v>
      </c>
      <c r="AY31" s="25">
        <f>Data_country[[#This Row],[ic_other_re]]/Data_country[[#This Row],[ic_total]]*100</f>
        <v>0.43516824996788528</v>
      </c>
      <c r="AZ31" s="24">
        <v>28853.53</v>
      </c>
      <c r="BA31" s="24">
        <v>17729.63</v>
      </c>
      <c r="BB31" s="24">
        <v>6597.23</v>
      </c>
      <c r="BC31" s="24">
        <v>10263.11</v>
      </c>
      <c r="BD31" s="24">
        <v>869.29</v>
      </c>
      <c r="BE31" s="24">
        <v>2639.65</v>
      </c>
      <c r="BF31" s="24">
        <v>8484.25</v>
      </c>
      <c r="BG31" s="24">
        <v>4296.9399999999996</v>
      </c>
      <c r="BH31" s="24">
        <v>2101.8200000000002</v>
      </c>
      <c r="BI31" s="24">
        <v>1315.9</v>
      </c>
      <c r="BJ31" s="24">
        <v>680.31</v>
      </c>
      <c r="BK31" s="24">
        <v>89.28</v>
      </c>
      <c r="BL31" s="25">
        <f>Data_country[[#This Row],[gen_fossil]]/Data_country[[#This Row],[gen_total]]*100</f>
        <v>61.447004924527434</v>
      </c>
      <c r="BM31" s="25">
        <f>Data_country[[#This Row],[gen_gas]]/Data_country[[#This Row],[gen_total]]*100</f>
        <v>22.864550715285095</v>
      </c>
      <c r="BN31" s="25">
        <f>Data_country[[#This Row],[gen_coal]]/Data_country[[#This Row],[gen_total]]*100</f>
        <v>35.569685927510427</v>
      </c>
      <c r="BO31" s="25">
        <f>Data_country[[#This Row],[gen_other_fossil]]/Data_country[[#This Row],[gen_total]]*100</f>
        <v>3.0127682817319057</v>
      </c>
      <c r="BP31" s="25">
        <f>Data_country[[#This Row],[gen_nuc]]/Data_country[[#This Row],[gen_total]]*100</f>
        <v>9.1484473476902135</v>
      </c>
      <c r="BQ31" s="25">
        <f>Data_country[[#This Row],[gen_re]]/Data_country[[#This Row],[gen_total]]*100</f>
        <v>29.404547727782354</v>
      </c>
      <c r="BR31" s="25">
        <f>Data_country[[#This Row],[gen_h2o]]/Data_country[[#This Row],[gen_total]]*100</f>
        <v>14.892250618901743</v>
      </c>
      <c r="BS31" s="25">
        <f>Data_country[[#This Row],[gen_wind]]/Data_country[[#This Row],[gen_total]]*100</f>
        <v>7.2844466517615016</v>
      </c>
      <c r="BT31" s="25">
        <f>Data_country[[#This Row],[gen_solar]]/Data_country[[#This Row],[gen_total]]*100</f>
        <v>4.5606204856043613</v>
      </c>
      <c r="BU31" s="25">
        <f>Data_country[[#This Row],[gen_bio]]/Data_country[[#This Row],[gen_total]]*100</f>
        <v>2.3578050935188863</v>
      </c>
      <c r="BV31" s="25">
        <f>Data_country[[#This Row],[gen_other_re]]/Data_country[[#This Row],[gen_total]]*100</f>
        <v>0.30942487799586399</v>
      </c>
    </row>
    <row r="32" spans="1:74" s="1" customFormat="1" ht="25.5" customHeight="1" x14ac:dyDescent="0.25">
      <c r="A32" s="23" t="s">
        <v>324</v>
      </c>
      <c r="B32" s="23">
        <v>2023</v>
      </c>
      <c r="C32" s="24">
        <v>105435039.50702401</v>
      </c>
      <c r="D32" s="24">
        <v>8024.9970279999998</v>
      </c>
      <c r="E32" s="24">
        <f>Data_country[[#This Row],[gdp]]/Data_country[[#This Row],[population]]</f>
        <v>13138.327545686414</v>
      </c>
      <c r="F32" s="24">
        <v>40417.8943574113</v>
      </c>
      <c r="G32" s="24">
        <f>Data_country[[#This Row],[co2_total]]/Data_country[[#This Row],[population]]</f>
        <v>5.0364996044720405</v>
      </c>
      <c r="H32" s="24">
        <v>13856.43</v>
      </c>
      <c r="I32" s="24">
        <f>Data_country[[#This Row],[co2_power_fossil]]/Data_country[[#This Row],[co2_total]]*100</f>
        <v>34.282909142839088</v>
      </c>
      <c r="J32" s="25" t="s">
        <v>354</v>
      </c>
      <c r="K32" s="25">
        <v>20.6</v>
      </c>
      <c r="L32" s="24">
        <v>619.62865679151014</v>
      </c>
      <c r="M32" s="24">
        <v>196.43040605900023</v>
      </c>
      <c r="N32" s="24">
        <v>144.36625694241229</v>
      </c>
      <c r="O32" s="24">
        <v>164.03374602588048</v>
      </c>
      <c r="P32" s="24">
        <v>24.567039774730802</v>
      </c>
      <c r="Q32" s="24">
        <v>39.650823509545319</v>
      </c>
      <c r="R32" s="24">
        <v>50.580384479941131</v>
      </c>
      <c r="S32" s="24">
        <f t="shared" si="0"/>
        <v>31.701310761857528</v>
      </c>
      <c r="T32" s="24">
        <f t="shared" si="1"/>
        <v>23.29883477145054</v>
      </c>
      <c r="U32" s="24">
        <f t="shared" si="2"/>
        <v>26.472911513689688</v>
      </c>
      <c r="V32" s="24">
        <f t="shared" si="3"/>
        <v>3.9648004503118082</v>
      </c>
      <c r="W32" s="24">
        <f t="shared" si="4"/>
        <v>6.3991268116714695</v>
      </c>
      <c r="X32" s="24">
        <f t="shared" si="5"/>
        <v>8.1630156910189822</v>
      </c>
      <c r="Y32" s="24">
        <v>146.13232576630253</v>
      </c>
      <c r="Z32" s="24">
        <v>179.24097323274327</v>
      </c>
      <c r="AA32" s="24" t="s">
        <v>354</v>
      </c>
      <c r="AB32" s="24" t="s">
        <v>354</v>
      </c>
      <c r="AC32" s="24">
        <f>Data_country[[#This Row],[ic_gas]]+Data_country[[#This Row],[ic_coal]]+Data_country[[#This Row],[ic_other_fossil]]+Data_country[[#This Row],[ic_nuc]]+Data_country[[#This Row],[ic_h2o]]+Data_country[[#This Row],[ic_wind]]+Data_country[[#This Row],[ic_solar]]+Data_country[[#This Row],[ic_bio]]+Data_country[[#This Row],[ic_other_re]]</f>
        <v>8735.31</v>
      </c>
      <c r="AD32" s="24">
        <v>4466.03</v>
      </c>
      <c r="AE32" s="24">
        <v>2016.21</v>
      </c>
      <c r="AF32" s="24">
        <v>2153.88</v>
      </c>
      <c r="AG32" s="24">
        <v>295.94</v>
      </c>
      <c r="AH32" s="24">
        <v>399.57</v>
      </c>
      <c r="AI32" s="24">
        <v>3869.71</v>
      </c>
      <c r="AJ32" s="24">
        <v>1267.9000000000001</v>
      </c>
      <c r="AK32" s="24">
        <v>1017.2</v>
      </c>
      <c r="AL32" s="24">
        <v>1418.97</v>
      </c>
      <c r="AM32" s="24">
        <v>128.83000000000001</v>
      </c>
      <c r="AN32" s="24">
        <v>36.81</v>
      </c>
      <c r="AO32" s="25">
        <f>Data_country[[#This Row],[ic_fossil]]/Data_country[[#This Row],[ic_total]]*100</f>
        <v>51.126176403584992</v>
      </c>
      <c r="AP32" s="25">
        <f>Data_country[[#This Row],[ic_gas]]/Data_country[[#This Row],[ic_total]]*100</f>
        <v>23.081149953464735</v>
      </c>
      <c r="AQ32" s="25">
        <f>Data_country[[#This Row],[ic_coal]]/Data_country[[#This Row],[ic_total]]*100</f>
        <v>24.657167289998867</v>
      </c>
      <c r="AR32" s="25">
        <f>Data_country[[#This Row],[ic_other_fossil]]/Data_country[[#This Row],[ic_total]]*100</f>
        <v>3.3878591601213923</v>
      </c>
      <c r="AS32" s="25">
        <f>Data_country[[#This Row],[ic_nuc]]/Data_country[[#This Row],[ic_total]]*100</f>
        <v>4.5741937034861957</v>
      </c>
      <c r="AT32" s="25">
        <f>Data_country[[#This Row],[ic_re]]/Data_country[[#This Row],[ic_total]]*100</f>
        <v>44.299629892928813</v>
      </c>
      <c r="AU32" s="25">
        <f>Data_country[[#This Row],[ic_h2o]]/Data_country[[#This Row],[ic_total]]*100</f>
        <v>14.514653744400603</v>
      </c>
      <c r="AV32" s="25">
        <f>Data_country[[#This Row],[ic_wind]]/Data_country[[#This Row],[ic_total]]*100</f>
        <v>11.644692632545384</v>
      </c>
      <c r="AW32" s="25">
        <f>Data_country[[#This Row],[ic_solar]]/Data_country[[#This Row],[ic_total]]*100</f>
        <v>16.244071475425599</v>
      </c>
      <c r="AX32" s="25">
        <f>Data_country[[#This Row],[ic_bio]]/Data_country[[#This Row],[ic_total]]*100</f>
        <v>1.4748188673326994</v>
      </c>
      <c r="AY32" s="25">
        <f>Data_country[[#This Row],[ic_other_re]]/Data_country[[#This Row],[ic_total]]*100</f>
        <v>0.42139317322453362</v>
      </c>
      <c r="AZ32" s="24">
        <v>29536.18</v>
      </c>
      <c r="BA32" s="24">
        <v>17943.41</v>
      </c>
      <c r="BB32" s="24">
        <v>6651.17</v>
      </c>
      <c r="BC32" s="24">
        <v>10474.780000000001</v>
      </c>
      <c r="BD32" s="24">
        <v>817.46</v>
      </c>
      <c r="BE32" s="24">
        <v>2689.87</v>
      </c>
      <c r="BF32" s="24">
        <v>8902.9</v>
      </c>
      <c r="BG32" s="24">
        <v>4183.41</v>
      </c>
      <c r="BH32" s="24">
        <v>2310.61</v>
      </c>
      <c r="BI32" s="24">
        <v>1632.33</v>
      </c>
      <c r="BJ32" s="24">
        <v>686.7</v>
      </c>
      <c r="BK32" s="24">
        <v>89.85</v>
      </c>
      <c r="BL32" s="25">
        <f>Data_country[[#This Row],[gen_fossil]]/Data_country[[#This Row],[gen_total]]*100</f>
        <v>60.750611622762321</v>
      </c>
      <c r="BM32" s="25">
        <f>Data_country[[#This Row],[gen_gas]]/Data_country[[#This Row],[gen_total]]*100</f>
        <v>22.518721107468874</v>
      </c>
      <c r="BN32" s="25">
        <f>Data_country[[#This Row],[gen_coal]]/Data_country[[#This Row],[gen_total]]*100</f>
        <v>35.464234034326715</v>
      </c>
      <c r="BO32" s="25">
        <f>Data_country[[#This Row],[gen_other_fossil]]/Data_country[[#This Row],[gen_total]]*100</f>
        <v>2.7676564809667332</v>
      </c>
      <c r="BP32" s="25">
        <f>Data_country[[#This Row],[gen_nuc]]/Data_country[[#This Row],[gen_total]]*100</f>
        <v>9.1070341526900229</v>
      </c>
      <c r="BQ32" s="25">
        <f>Data_country[[#This Row],[gen_re]]/Data_country[[#This Row],[gen_total]]*100</f>
        <v>30.142354224547656</v>
      </c>
      <c r="BR32" s="25">
        <f>Data_country[[#This Row],[gen_h2o]]/Data_country[[#This Row],[gen_total]]*100</f>
        <v>14.163679934236587</v>
      </c>
      <c r="BS32" s="25">
        <f>Data_country[[#This Row],[gen_wind]]/Data_country[[#This Row],[gen_total]]*100</f>
        <v>7.8229818480250328</v>
      </c>
      <c r="BT32" s="25">
        <f>Data_country[[#This Row],[gen_solar]]/Data_country[[#This Row],[gen_total]]*100</f>
        <v>5.5265440554601168</v>
      </c>
      <c r="BU32" s="25">
        <f>Data_country[[#This Row],[gen_bio]]/Data_country[[#This Row],[gen_total]]*100</f>
        <v>2.324945202798737</v>
      </c>
      <c r="BV32" s="25">
        <f>Data_country[[#This Row],[gen_other_re]]/Data_country[[#This Row],[gen_total]]*100</f>
        <v>0.30420318402718294</v>
      </c>
    </row>
    <row r="33" spans="1:73" s="8" customFormat="1" ht="11.75" customHeight="1" x14ac:dyDescent="0.25">
      <c r="A33" s="16"/>
      <c r="B33" s="16" t="s">
        <v>129</v>
      </c>
      <c r="C33" s="10"/>
      <c r="D33" s="10"/>
      <c r="E33" s="10"/>
      <c r="F33" s="10"/>
      <c r="G33" s="2"/>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H33" s="9"/>
      <c r="AI33" s="2"/>
      <c r="AL33" s="2"/>
      <c r="AM33" s="2"/>
      <c r="AN33" s="2"/>
      <c r="AP33" s="2"/>
      <c r="AQ33" s="2"/>
      <c r="AR33" s="2"/>
      <c r="AS33" s="2"/>
      <c r="AV33" s="2"/>
      <c r="AX33" s="2"/>
      <c r="AY33" s="2"/>
      <c r="AZ33" s="11"/>
      <c r="BA33" s="10"/>
      <c r="BC33" s="2"/>
      <c r="BD33" s="2"/>
      <c r="BE33" s="2"/>
      <c r="BF33" s="2"/>
      <c r="BG33" s="10"/>
      <c r="BH33" s="2"/>
      <c r="BL33" s="2"/>
      <c r="BM33" s="2"/>
      <c r="BN33" s="2"/>
      <c r="BO33" s="10"/>
      <c r="BQ33" s="10"/>
      <c r="BR33" s="2"/>
      <c r="BS33" s="2"/>
      <c r="BU33" s="2"/>
    </row>
  </sheetData>
  <phoneticPr fontId="44" type="noConversion"/>
  <hyperlinks>
    <hyperlink ref="A1" location="Table_of_contents!A1" display="← Return" xr:uid="{E0421C9A-9AF9-4193-AC61-D6C46CE62CBD}"/>
  </hyperlinks>
  <pageMargins left="0.7" right="0.7" top="0.75" bottom="0.75" header="0.3" footer="0.3"/>
  <pageSetup paperSize="9" orientation="portrait" r:id="rId1"/>
  <ignoredErrors>
    <ignoredError sqref="J24:J30 J3:J23 AD3:AD4 AI3:AI32 AD5:AD32 J31:J32 AA30:AA32"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6BF16-B294-4469-B11B-10DD27863E1A}">
  <sheetPr codeName="Sheet5"/>
  <dimension ref="A1:C86"/>
  <sheetViews>
    <sheetView showGridLines="0" zoomScaleNormal="100" workbookViewId="0">
      <pane ySplit="2" topLeftCell="A20" activePane="bottomLeft" state="frozen"/>
      <selection pane="bottomLeft"/>
    </sheetView>
  </sheetViews>
  <sheetFormatPr baseColWidth="10" defaultColWidth="9.08984375" defaultRowHeight="12.5" x14ac:dyDescent="0.25"/>
  <cols>
    <col min="1" max="2" width="25.7265625" customWidth="1"/>
    <col min="3" max="3" width="100.7265625" customWidth="1"/>
  </cols>
  <sheetData>
    <row r="1" spans="1:3" s="65" customFormat="1" ht="30" customHeight="1" x14ac:dyDescent="0.25">
      <c r="A1" s="18" t="s">
        <v>426</v>
      </c>
    </row>
    <row r="2" spans="1:3" s="49" customFormat="1" ht="25" customHeight="1" x14ac:dyDescent="0.25">
      <c r="A2" s="20" t="s">
        <v>86</v>
      </c>
      <c r="B2" s="20" t="s">
        <v>87</v>
      </c>
      <c r="C2" s="20" t="s">
        <v>88</v>
      </c>
    </row>
    <row r="3" spans="1:3" s="49" customFormat="1" ht="20" customHeight="1" x14ac:dyDescent="0.25">
      <c r="A3" s="17" t="s">
        <v>0</v>
      </c>
      <c r="B3" s="17" t="s">
        <v>73</v>
      </c>
      <c r="C3" s="17" t="s">
        <v>325</v>
      </c>
    </row>
    <row r="4" spans="1:3" s="49" customFormat="1" ht="20" customHeight="1" x14ac:dyDescent="0.25">
      <c r="A4" s="17" t="s">
        <v>20</v>
      </c>
      <c r="B4" s="17" t="s">
        <v>73</v>
      </c>
      <c r="C4" s="17" t="s">
        <v>396</v>
      </c>
    </row>
    <row r="5" spans="1:3" s="49" customFormat="1" ht="20" customHeight="1" x14ac:dyDescent="0.25">
      <c r="A5" s="17" t="s">
        <v>41</v>
      </c>
      <c r="B5" s="17" t="s">
        <v>73</v>
      </c>
      <c r="C5" s="17" t="s">
        <v>326</v>
      </c>
    </row>
    <row r="6" spans="1:3" s="49" customFormat="1" ht="30.5" customHeight="1" x14ac:dyDescent="0.25">
      <c r="A6" s="17" t="s">
        <v>40</v>
      </c>
      <c r="B6" s="17" t="s">
        <v>73</v>
      </c>
      <c r="C6" s="17" t="s">
        <v>397</v>
      </c>
    </row>
    <row r="7" spans="1:3" s="49" customFormat="1" ht="30.5" customHeight="1" x14ac:dyDescent="0.25">
      <c r="A7" s="17" t="s">
        <v>366</v>
      </c>
      <c r="B7" s="17" t="s">
        <v>73</v>
      </c>
      <c r="C7" s="17" t="s">
        <v>398</v>
      </c>
    </row>
    <row r="8" spans="1:3" s="49" customFormat="1" ht="20" customHeight="1" x14ac:dyDescent="0.25">
      <c r="A8" s="17" t="s">
        <v>161</v>
      </c>
      <c r="B8" s="17" t="s">
        <v>73</v>
      </c>
      <c r="C8" s="17" t="s">
        <v>364</v>
      </c>
    </row>
    <row r="9" spans="1:3" s="49" customFormat="1" ht="20" customHeight="1" x14ac:dyDescent="0.25">
      <c r="A9" s="17" t="s">
        <v>162</v>
      </c>
      <c r="B9" s="17" t="s">
        <v>73</v>
      </c>
      <c r="C9" s="17" t="s">
        <v>399</v>
      </c>
    </row>
    <row r="10" spans="1:3" s="49" customFormat="1" ht="20" customHeight="1" x14ac:dyDescent="0.25">
      <c r="A10" s="17" t="s">
        <v>163</v>
      </c>
      <c r="B10" s="17" t="s">
        <v>73</v>
      </c>
      <c r="C10" s="17" t="s">
        <v>400</v>
      </c>
    </row>
    <row r="11" spans="1:3" s="49" customFormat="1" ht="20" customHeight="1" x14ac:dyDescent="0.25">
      <c r="A11" s="17" t="s">
        <v>56</v>
      </c>
      <c r="B11" s="17" t="s">
        <v>328</v>
      </c>
      <c r="C11" s="17" t="s">
        <v>329</v>
      </c>
    </row>
    <row r="12" spans="1:3" s="49" customFormat="1" ht="20" customHeight="1" x14ac:dyDescent="0.25">
      <c r="A12" s="17" t="s">
        <v>108</v>
      </c>
      <c r="B12" s="17" t="s">
        <v>73</v>
      </c>
      <c r="C12" s="17" t="s">
        <v>342</v>
      </c>
    </row>
    <row r="13" spans="1:3" s="49" customFormat="1" ht="20" customHeight="1" x14ac:dyDescent="0.25">
      <c r="A13" s="17" t="s">
        <v>102</v>
      </c>
      <c r="B13" s="17" t="s">
        <v>419</v>
      </c>
      <c r="C13" s="17" t="s">
        <v>401</v>
      </c>
    </row>
    <row r="14" spans="1:3" s="49" customFormat="1" ht="20" customHeight="1" x14ac:dyDescent="0.25">
      <c r="A14" s="17" t="s">
        <v>207</v>
      </c>
      <c r="B14" s="17" t="s">
        <v>419</v>
      </c>
      <c r="C14" s="17" t="s">
        <v>402</v>
      </c>
    </row>
    <row r="15" spans="1:3" s="49" customFormat="1" ht="20" customHeight="1" x14ac:dyDescent="0.25">
      <c r="A15" s="17" t="s">
        <v>205</v>
      </c>
      <c r="B15" s="17" t="s">
        <v>419</v>
      </c>
      <c r="C15" s="17" t="s">
        <v>403</v>
      </c>
    </row>
    <row r="16" spans="1:3" s="49" customFormat="1" ht="20" customHeight="1" x14ac:dyDescent="0.25">
      <c r="A16" s="17" t="s">
        <v>206</v>
      </c>
      <c r="B16" s="17" t="s">
        <v>419</v>
      </c>
      <c r="C16" s="17" t="s">
        <v>404</v>
      </c>
    </row>
    <row r="17" spans="1:3" s="49" customFormat="1" ht="20" customHeight="1" x14ac:dyDescent="0.25">
      <c r="A17" s="17" t="s">
        <v>101</v>
      </c>
      <c r="B17" s="17" t="s">
        <v>419</v>
      </c>
      <c r="C17" s="17" t="s">
        <v>405</v>
      </c>
    </row>
    <row r="18" spans="1:3" s="49" customFormat="1" ht="20" customHeight="1" x14ac:dyDescent="0.25">
      <c r="A18" s="17" t="s">
        <v>343</v>
      </c>
      <c r="B18" s="17" t="s">
        <v>419</v>
      </c>
      <c r="C18" s="17" t="s">
        <v>406</v>
      </c>
    </row>
    <row r="19" spans="1:3" s="49" customFormat="1" ht="20" customHeight="1" x14ac:dyDescent="0.25">
      <c r="A19" s="17" t="s">
        <v>110</v>
      </c>
      <c r="B19" s="17" t="s">
        <v>419</v>
      </c>
      <c r="C19" s="17" t="s">
        <v>407</v>
      </c>
    </row>
    <row r="20" spans="1:3" s="49" customFormat="1" ht="20" customHeight="1" x14ac:dyDescent="0.25">
      <c r="A20" s="17" t="s">
        <v>111</v>
      </c>
      <c r="B20" s="17" t="s">
        <v>419</v>
      </c>
      <c r="C20" s="17" t="s">
        <v>408</v>
      </c>
    </row>
    <row r="21" spans="1:3" s="49" customFormat="1" ht="20" customHeight="1" x14ac:dyDescent="0.25">
      <c r="A21" s="17" t="s">
        <v>194</v>
      </c>
      <c r="B21" s="17" t="s">
        <v>419</v>
      </c>
      <c r="C21" s="17" t="s">
        <v>409</v>
      </c>
    </row>
    <row r="22" spans="1:3" s="49" customFormat="1" ht="20" customHeight="1" x14ac:dyDescent="0.25">
      <c r="A22" s="17" t="s">
        <v>195</v>
      </c>
      <c r="B22" s="17" t="s">
        <v>419</v>
      </c>
      <c r="C22" s="17" t="s">
        <v>410</v>
      </c>
    </row>
    <row r="23" spans="1:3" s="49" customFormat="1" ht="20" customHeight="1" x14ac:dyDescent="0.25">
      <c r="A23" s="17" t="s">
        <v>57</v>
      </c>
      <c r="B23" s="17" t="s">
        <v>419</v>
      </c>
      <c r="C23" s="17" t="s">
        <v>411</v>
      </c>
    </row>
    <row r="24" spans="1:3" s="49" customFormat="1" ht="20" customHeight="1" x14ac:dyDescent="0.25">
      <c r="A24" s="17" t="s">
        <v>58</v>
      </c>
      <c r="B24" s="17" t="s">
        <v>419</v>
      </c>
      <c r="C24" s="17" t="s">
        <v>412</v>
      </c>
    </row>
    <row r="25" spans="1:3" s="49" customFormat="1" ht="20" customHeight="1" x14ac:dyDescent="0.25">
      <c r="A25" s="17" t="s">
        <v>80</v>
      </c>
      <c r="B25" s="17" t="s">
        <v>419</v>
      </c>
      <c r="C25" s="17" t="s">
        <v>413</v>
      </c>
    </row>
    <row r="26" spans="1:3" s="49" customFormat="1" ht="20" customHeight="1" x14ac:dyDescent="0.25">
      <c r="A26" s="17" t="s">
        <v>81</v>
      </c>
      <c r="B26" s="17" t="s">
        <v>419</v>
      </c>
      <c r="C26" s="17" t="s">
        <v>414</v>
      </c>
    </row>
    <row r="27" spans="1:3" s="49" customFormat="1" ht="20" customHeight="1" x14ac:dyDescent="0.25">
      <c r="A27" s="17" t="s">
        <v>100</v>
      </c>
      <c r="B27" s="17" t="s">
        <v>419</v>
      </c>
      <c r="C27" s="17" t="s">
        <v>415</v>
      </c>
    </row>
    <row r="28" spans="1:3" s="49" customFormat="1" ht="20" customHeight="1" x14ac:dyDescent="0.25">
      <c r="A28" s="17" t="s">
        <v>112</v>
      </c>
      <c r="B28" s="17" t="s">
        <v>419</v>
      </c>
      <c r="C28" s="17" t="s">
        <v>416</v>
      </c>
    </row>
    <row r="29" spans="1:3" s="49" customFormat="1" ht="20" customHeight="1" x14ac:dyDescent="0.25">
      <c r="A29" s="17" t="s">
        <v>192</v>
      </c>
      <c r="B29" s="17" t="s">
        <v>419</v>
      </c>
      <c r="C29" s="17" t="s">
        <v>417</v>
      </c>
    </row>
    <row r="30" spans="1:3" s="49" customFormat="1" ht="20" customHeight="1" x14ac:dyDescent="0.25">
      <c r="A30" s="17" t="s">
        <v>193</v>
      </c>
      <c r="B30" s="17" t="s">
        <v>419</v>
      </c>
      <c r="C30" s="17" t="s">
        <v>418</v>
      </c>
    </row>
    <row r="31" spans="1:3" s="49" customFormat="1" ht="30.5" customHeight="1" x14ac:dyDescent="0.25">
      <c r="A31" s="17" t="s">
        <v>196</v>
      </c>
      <c r="B31" s="17" t="s">
        <v>76</v>
      </c>
      <c r="C31" s="17" t="s">
        <v>345</v>
      </c>
    </row>
    <row r="32" spans="1:3" s="49" customFormat="1" ht="20" customHeight="1" x14ac:dyDescent="0.25">
      <c r="A32" s="17" t="s">
        <v>82</v>
      </c>
      <c r="B32" s="17" t="s">
        <v>76</v>
      </c>
      <c r="C32" s="17" t="s">
        <v>346</v>
      </c>
    </row>
    <row r="33" spans="1:3" s="49" customFormat="1" ht="20" customHeight="1" x14ac:dyDescent="0.25">
      <c r="A33" s="17" t="s">
        <v>203</v>
      </c>
      <c r="B33" s="17" t="s">
        <v>76</v>
      </c>
      <c r="C33" s="17" t="s">
        <v>347</v>
      </c>
    </row>
    <row r="34" spans="1:3" s="49" customFormat="1" ht="20" customHeight="1" x14ac:dyDescent="0.25">
      <c r="A34" s="17" t="s">
        <v>204</v>
      </c>
      <c r="B34" s="17" t="s">
        <v>76</v>
      </c>
      <c r="C34" s="17" t="s">
        <v>348</v>
      </c>
    </row>
    <row r="35" spans="1:3" s="49" customFormat="1" ht="20" customHeight="1" x14ac:dyDescent="0.25">
      <c r="A35" s="17" t="s">
        <v>181</v>
      </c>
      <c r="B35" s="17" t="s">
        <v>73</v>
      </c>
      <c r="C35" s="17" t="s">
        <v>344</v>
      </c>
    </row>
    <row r="36" spans="1:3" s="49" customFormat="1" ht="20.25" customHeight="1" x14ac:dyDescent="0.25">
      <c r="A36" s="17" t="s">
        <v>21</v>
      </c>
      <c r="B36" s="17" t="s">
        <v>79</v>
      </c>
      <c r="C36" s="17" t="s">
        <v>365</v>
      </c>
    </row>
    <row r="37" spans="1:3" s="49" customFormat="1" ht="20.25" customHeight="1" x14ac:dyDescent="0.25">
      <c r="A37" s="17" t="s">
        <v>83</v>
      </c>
      <c r="B37" s="17" t="s">
        <v>79</v>
      </c>
      <c r="C37" s="17" t="s">
        <v>420</v>
      </c>
    </row>
    <row r="38" spans="1:3" s="49" customFormat="1" ht="20.25" customHeight="1" x14ac:dyDescent="0.25">
      <c r="A38" s="17" t="s">
        <v>22</v>
      </c>
      <c r="B38" s="17" t="s">
        <v>79</v>
      </c>
      <c r="C38" s="17" t="s">
        <v>349</v>
      </c>
    </row>
    <row r="39" spans="1:3" s="49" customFormat="1" ht="20.25" customHeight="1" x14ac:dyDescent="0.25">
      <c r="A39" s="17" t="s">
        <v>23</v>
      </c>
      <c r="B39" s="17" t="s">
        <v>79</v>
      </c>
      <c r="C39" s="17" t="s">
        <v>273</v>
      </c>
    </row>
    <row r="40" spans="1:3" s="49" customFormat="1" ht="20.25" customHeight="1" x14ac:dyDescent="0.25">
      <c r="A40" s="17" t="s">
        <v>24</v>
      </c>
      <c r="B40" s="17" t="s">
        <v>79</v>
      </c>
      <c r="C40" s="17" t="s">
        <v>272</v>
      </c>
    </row>
    <row r="41" spans="1:3" s="49" customFormat="1" ht="20.25" customHeight="1" x14ac:dyDescent="0.25">
      <c r="A41" s="17" t="s">
        <v>25</v>
      </c>
      <c r="B41" s="17" t="s">
        <v>79</v>
      </c>
      <c r="C41" s="17" t="s">
        <v>274</v>
      </c>
    </row>
    <row r="42" spans="1:3" s="49" customFormat="1" ht="20.25" customHeight="1" x14ac:dyDescent="0.25">
      <c r="A42" s="17" t="s">
        <v>63</v>
      </c>
      <c r="B42" s="17" t="s">
        <v>79</v>
      </c>
      <c r="C42" s="17" t="s">
        <v>392</v>
      </c>
    </row>
    <row r="43" spans="1:3" s="49" customFormat="1" ht="20.25" customHeight="1" x14ac:dyDescent="0.25">
      <c r="A43" s="17" t="s">
        <v>26</v>
      </c>
      <c r="B43" s="17" t="s">
        <v>79</v>
      </c>
      <c r="C43" s="17" t="s">
        <v>275</v>
      </c>
    </row>
    <row r="44" spans="1:3" s="49" customFormat="1" ht="20.25" customHeight="1" x14ac:dyDescent="0.25">
      <c r="A44" s="17" t="s">
        <v>59</v>
      </c>
      <c r="B44" s="17" t="s">
        <v>79</v>
      </c>
      <c r="C44" s="17" t="s">
        <v>276</v>
      </c>
    </row>
    <row r="45" spans="1:3" s="49" customFormat="1" ht="20.25" customHeight="1" x14ac:dyDescent="0.25">
      <c r="A45" s="17" t="s">
        <v>60</v>
      </c>
      <c r="B45" s="17" t="s">
        <v>79</v>
      </c>
      <c r="C45" s="17" t="s">
        <v>277</v>
      </c>
    </row>
    <row r="46" spans="1:3" s="49" customFormat="1" ht="20.25" customHeight="1" x14ac:dyDescent="0.25">
      <c r="A46" s="17" t="s">
        <v>156</v>
      </c>
      <c r="B46" s="17" t="s">
        <v>79</v>
      </c>
      <c r="C46" s="17" t="s">
        <v>279</v>
      </c>
    </row>
    <row r="47" spans="1:3" s="49" customFormat="1" ht="20.25" customHeight="1" x14ac:dyDescent="0.25">
      <c r="A47" s="17" t="s">
        <v>27</v>
      </c>
      <c r="B47" s="17" t="s">
        <v>79</v>
      </c>
      <c r="C47" s="17" t="s">
        <v>280</v>
      </c>
    </row>
    <row r="48" spans="1:3" s="49" customFormat="1" ht="20.25" customHeight="1" x14ac:dyDescent="0.25">
      <c r="A48" s="17" t="s">
        <v>54</v>
      </c>
      <c r="B48" s="17" t="s">
        <v>76</v>
      </c>
      <c r="C48" s="17" t="s">
        <v>368</v>
      </c>
    </row>
    <row r="49" spans="1:3" s="49" customFormat="1" ht="20.25" customHeight="1" x14ac:dyDescent="0.25">
      <c r="A49" s="17" t="s">
        <v>367</v>
      </c>
      <c r="B49" s="17" t="s">
        <v>76</v>
      </c>
      <c r="C49" s="17" t="s">
        <v>421</v>
      </c>
    </row>
    <row r="50" spans="1:3" s="49" customFormat="1" ht="20.25" customHeight="1" x14ac:dyDescent="0.25">
      <c r="A50" s="17" t="s">
        <v>105</v>
      </c>
      <c r="B50" s="17" t="s">
        <v>76</v>
      </c>
      <c r="C50" s="17" t="s">
        <v>422</v>
      </c>
    </row>
    <row r="51" spans="1:3" s="49" customFormat="1" ht="20.25" customHeight="1" x14ac:dyDescent="0.25">
      <c r="A51" s="17" t="s">
        <v>28</v>
      </c>
      <c r="B51" s="17" t="s">
        <v>76</v>
      </c>
      <c r="C51" s="17" t="s">
        <v>350</v>
      </c>
    </row>
    <row r="52" spans="1:3" s="49" customFormat="1" ht="20.25" customHeight="1" x14ac:dyDescent="0.25">
      <c r="A52" s="17" t="s">
        <v>29</v>
      </c>
      <c r="B52" s="17" t="s">
        <v>76</v>
      </c>
      <c r="C52" s="17" t="s">
        <v>282</v>
      </c>
    </row>
    <row r="53" spans="1:3" s="49" customFormat="1" ht="20.25" customHeight="1" x14ac:dyDescent="0.25">
      <c r="A53" s="17" t="s">
        <v>30</v>
      </c>
      <c r="B53" s="17" t="s">
        <v>76</v>
      </c>
      <c r="C53" s="17" t="s">
        <v>351</v>
      </c>
    </row>
    <row r="54" spans="1:3" s="49" customFormat="1" ht="20.25" customHeight="1" x14ac:dyDescent="0.25">
      <c r="A54" s="17" t="s">
        <v>31</v>
      </c>
      <c r="B54" s="17" t="s">
        <v>76</v>
      </c>
      <c r="C54" s="17" t="s">
        <v>283</v>
      </c>
    </row>
    <row r="55" spans="1:3" s="49" customFormat="1" ht="20.25" customHeight="1" x14ac:dyDescent="0.25">
      <c r="A55" s="17" t="s">
        <v>99</v>
      </c>
      <c r="B55" s="17" t="s">
        <v>76</v>
      </c>
      <c r="C55" s="17" t="s">
        <v>371</v>
      </c>
    </row>
    <row r="56" spans="1:3" s="49" customFormat="1" ht="20.25" customHeight="1" x14ac:dyDescent="0.25">
      <c r="A56" s="17" t="s">
        <v>64</v>
      </c>
      <c r="B56" s="17" t="s">
        <v>76</v>
      </c>
      <c r="C56" s="17" t="s">
        <v>374</v>
      </c>
    </row>
    <row r="57" spans="1:3" s="49" customFormat="1" ht="20.25" customHeight="1" x14ac:dyDescent="0.25">
      <c r="A57" s="17" t="s">
        <v>32</v>
      </c>
      <c r="B57" s="17" t="s">
        <v>76</v>
      </c>
      <c r="C57" s="17" t="s">
        <v>284</v>
      </c>
    </row>
    <row r="58" spans="1:3" s="49" customFormat="1" ht="20.25" customHeight="1" x14ac:dyDescent="0.25">
      <c r="A58" s="17" t="s">
        <v>67</v>
      </c>
      <c r="B58" s="17" t="s">
        <v>76</v>
      </c>
      <c r="C58" s="17" t="s">
        <v>285</v>
      </c>
    </row>
    <row r="59" spans="1:3" s="49" customFormat="1" ht="20.25" customHeight="1" x14ac:dyDescent="0.25">
      <c r="A59" s="17" t="s">
        <v>68</v>
      </c>
      <c r="B59" s="17" t="s">
        <v>76</v>
      </c>
      <c r="C59" s="17" t="s">
        <v>286</v>
      </c>
    </row>
    <row r="60" spans="1:3" s="49" customFormat="1" ht="20.25" customHeight="1" x14ac:dyDescent="0.25">
      <c r="A60" s="17" t="s">
        <v>153</v>
      </c>
      <c r="B60" s="17" t="s">
        <v>76</v>
      </c>
      <c r="C60" s="17" t="s">
        <v>288</v>
      </c>
    </row>
    <row r="61" spans="1:3" s="49" customFormat="1" ht="20.25" customHeight="1" x14ac:dyDescent="0.25">
      <c r="A61" s="17" t="s">
        <v>93</v>
      </c>
      <c r="B61" s="17" t="s">
        <v>76</v>
      </c>
      <c r="C61" s="17" t="s">
        <v>290</v>
      </c>
    </row>
    <row r="62" spans="1:3" s="49" customFormat="1" ht="20.25" customHeight="1" x14ac:dyDescent="0.25">
      <c r="A62" s="17" t="s">
        <v>7</v>
      </c>
      <c r="B62" s="17" t="s">
        <v>78</v>
      </c>
      <c r="C62" s="17" t="s">
        <v>291</v>
      </c>
    </row>
    <row r="63" spans="1:3" s="49" customFormat="1" ht="20.25" customHeight="1" x14ac:dyDescent="0.25">
      <c r="A63" s="17" t="s">
        <v>95</v>
      </c>
      <c r="B63" s="17" t="s">
        <v>78</v>
      </c>
      <c r="C63" s="17" t="s">
        <v>295</v>
      </c>
    </row>
    <row r="64" spans="1:3" s="49" customFormat="1" ht="20.25" customHeight="1" x14ac:dyDescent="0.25">
      <c r="A64" s="17" t="s">
        <v>11</v>
      </c>
      <c r="B64" s="17" t="s">
        <v>78</v>
      </c>
      <c r="C64" s="17" t="s">
        <v>352</v>
      </c>
    </row>
    <row r="65" spans="1:3" s="49" customFormat="1" ht="20.25" customHeight="1" x14ac:dyDescent="0.25">
      <c r="A65" s="17" t="s">
        <v>10</v>
      </c>
      <c r="B65" s="17" t="s">
        <v>78</v>
      </c>
      <c r="C65" s="17" t="s">
        <v>293</v>
      </c>
    </row>
    <row r="66" spans="1:3" s="49" customFormat="1" ht="20.25" customHeight="1" x14ac:dyDescent="0.25">
      <c r="A66" s="17" t="s">
        <v>8</v>
      </c>
      <c r="B66" s="17" t="s">
        <v>78</v>
      </c>
      <c r="C66" s="17" t="s">
        <v>292</v>
      </c>
    </row>
    <row r="67" spans="1:3" s="49" customFormat="1" ht="20.25" customHeight="1" x14ac:dyDescent="0.25">
      <c r="A67" s="17" t="s">
        <v>14</v>
      </c>
      <c r="B67" s="17" t="s">
        <v>78</v>
      </c>
      <c r="C67" s="17" t="s">
        <v>296</v>
      </c>
    </row>
    <row r="68" spans="1:3" s="49" customFormat="1" ht="20.25" customHeight="1" x14ac:dyDescent="0.25">
      <c r="A68" s="17" t="s">
        <v>65</v>
      </c>
      <c r="B68" s="17" t="s">
        <v>78</v>
      </c>
      <c r="C68" s="17" t="s">
        <v>302</v>
      </c>
    </row>
    <row r="69" spans="1:3" s="49" customFormat="1" ht="20.25" customHeight="1" x14ac:dyDescent="0.25">
      <c r="A69" s="17" t="s">
        <v>17</v>
      </c>
      <c r="B69" s="17" t="s">
        <v>78</v>
      </c>
      <c r="C69" s="17" t="s">
        <v>297</v>
      </c>
    </row>
    <row r="70" spans="1:3" s="49" customFormat="1" ht="20.25" customHeight="1" x14ac:dyDescent="0.25">
      <c r="A70" s="17" t="s">
        <v>69</v>
      </c>
      <c r="B70" s="17" t="s">
        <v>78</v>
      </c>
      <c r="C70" s="17" t="s">
        <v>298</v>
      </c>
    </row>
    <row r="71" spans="1:3" s="49" customFormat="1" ht="20.25" customHeight="1" x14ac:dyDescent="0.25">
      <c r="A71" s="17" t="s">
        <v>70</v>
      </c>
      <c r="B71" s="17" t="s">
        <v>78</v>
      </c>
      <c r="C71" s="17" t="s">
        <v>299</v>
      </c>
    </row>
    <row r="72" spans="1:3" s="49" customFormat="1" ht="20.25" customHeight="1" x14ac:dyDescent="0.25">
      <c r="A72" s="17" t="s">
        <v>159</v>
      </c>
      <c r="B72" s="17" t="s">
        <v>78</v>
      </c>
      <c r="C72" s="17" t="s">
        <v>301</v>
      </c>
    </row>
    <row r="73" spans="1:3" s="49" customFormat="1" ht="20.25" customHeight="1" x14ac:dyDescent="0.25">
      <c r="A73" s="17" t="s">
        <v>18</v>
      </c>
      <c r="B73" s="17" t="s">
        <v>78</v>
      </c>
      <c r="C73" s="17" t="s">
        <v>303</v>
      </c>
    </row>
    <row r="74" spans="1:3" s="49" customFormat="1" ht="20.25" customHeight="1" x14ac:dyDescent="0.25">
      <c r="A74" s="17" t="s">
        <v>55</v>
      </c>
      <c r="B74" s="17" t="s">
        <v>76</v>
      </c>
      <c r="C74" s="17" t="s">
        <v>370</v>
      </c>
    </row>
    <row r="75" spans="1:3" s="49" customFormat="1" ht="20.25" customHeight="1" x14ac:dyDescent="0.25">
      <c r="A75" s="17" t="s">
        <v>369</v>
      </c>
      <c r="B75" s="17" t="s">
        <v>76</v>
      </c>
      <c r="C75" s="17" t="s">
        <v>372</v>
      </c>
    </row>
    <row r="76" spans="1:3" s="49" customFormat="1" ht="20.25" customHeight="1" x14ac:dyDescent="0.25">
      <c r="A76" s="17" t="s">
        <v>96</v>
      </c>
      <c r="B76" s="17" t="s">
        <v>76</v>
      </c>
      <c r="C76" s="17" t="s">
        <v>373</v>
      </c>
    </row>
    <row r="77" spans="1:3" s="49" customFormat="1" ht="20.25" customHeight="1" x14ac:dyDescent="0.25">
      <c r="A77" s="17" t="s">
        <v>12</v>
      </c>
      <c r="B77" s="17" t="s">
        <v>76</v>
      </c>
      <c r="C77" s="17" t="s">
        <v>353</v>
      </c>
    </row>
    <row r="78" spans="1:3" s="49" customFormat="1" ht="20.25" customHeight="1" x14ac:dyDescent="0.25">
      <c r="A78" s="17" t="s">
        <v>13</v>
      </c>
      <c r="B78" s="17" t="s">
        <v>76</v>
      </c>
      <c r="C78" s="17" t="s">
        <v>306</v>
      </c>
    </row>
    <row r="79" spans="1:3" s="49" customFormat="1" ht="20.25" customHeight="1" x14ac:dyDescent="0.25">
      <c r="A79" s="17" t="s">
        <v>9</v>
      </c>
      <c r="B79" s="17" t="s">
        <v>76</v>
      </c>
      <c r="C79" s="17" t="s">
        <v>305</v>
      </c>
    </row>
    <row r="80" spans="1:3" s="49" customFormat="1" ht="20.25" customHeight="1" x14ac:dyDescent="0.25">
      <c r="A80" s="17" t="s">
        <v>16</v>
      </c>
      <c r="B80" s="17" t="s">
        <v>76</v>
      </c>
      <c r="C80" s="17" t="s">
        <v>308</v>
      </c>
    </row>
    <row r="81" spans="1:3" s="49" customFormat="1" ht="20.25" customHeight="1" x14ac:dyDescent="0.25">
      <c r="A81" s="17" t="s">
        <v>66</v>
      </c>
      <c r="B81" s="17" t="s">
        <v>76</v>
      </c>
      <c r="C81" s="17" t="s">
        <v>314</v>
      </c>
    </row>
    <row r="82" spans="1:3" s="49" customFormat="1" ht="20.25" customHeight="1" x14ac:dyDescent="0.25">
      <c r="A82" s="17" t="s">
        <v>15</v>
      </c>
      <c r="B82" s="17" t="s">
        <v>76</v>
      </c>
      <c r="C82" s="17" t="s">
        <v>309</v>
      </c>
    </row>
    <row r="83" spans="1:3" s="49" customFormat="1" ht="20.25" customHeight="1" x14ac:dyDescent="0.25">
      <c r="A83" s="17" t="s">
        <v>71</v>
      </c>
      <c r="B83" s="17" t="s">
        <v>76</v>
      </c>
      <c r="C83" s="17" t="s">
        <v>310</v>
      </c>
    </row>
    <row r="84" spans="1:3" s="49" customFormat="1" ht="20.25" customHeight="1" x14ac:dyDescent="0.25">
      <c r="A84" s="17" t="s">
        <v>72</v>
      </c>
      <c r="B84" s="17" t="s">
        <v>76</v>
      </c>
      <c r="C84" s="17" t="s">
        <v>311</v>
      </c>
    </row>
    <row r="85" spans="1:3" s="49" customFormat="1" ht="20.25" customHeight="1" x14ac:dyDescent="0.25">
      <c r="A85" s="17" t="s">
        <v>157</v>
      </c>
      <c r="B85" s="17" t="s">
        <v>76</v>
      </c>
      <c r="C85" s="17" t="s">
        <v>313</v>
      </c>
    </row>
    <row r="86" spans="1:3" s="49" customFormat="1" ht="20.25" customHeight="1" x14ac:dyDescent="0.25">
      <c r="A86" s="17" t="s">
        <v>19</v>
      </c>
      <c r="B86" s="17" t="s">
        <v>76</v>
      </c>
      <c r="C86" s="17" t="s">
        <v>315</v>
      </c>
    </row>
  </sheetData>
  <hyperlinks>
    <hyperlink ref="A1" location="Table_of_contents!A1" display="← Return" xr:uid="{ECD8AD00-2C65-40F9-94B7-ADDA4A49D90F}"/>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88A6F-24EF-4B7A-9408-9280E9BD8E3B}">
  <sheetPr codeName="Sheet6"/>
  <dimension ref="A1:CR41"/>
  <sheetViews>
    <sheetView showGridLines="0" zoomScaleNormal="100" workbookViewId="0">
      <pane xSplit="4" ySplit="2" topLeftCell="E3" activePane="bottomRight" state="frozen"/>
      <selection pane="topRight" activeCell="E1" sqref="E1"/>
      <selection pane="bottomLeft" activeCell="A2" sqref="A2"/>
      <selection pane="bottomRight"/>
    </sheetView>
  </sheetViews>
  <sheetFormatPr baseColWidth="10" defaultColWidth="9.08984375" defaultRowHeight="13" x14ac:dyDescent="0.25"/>
  <cols>
    <col min="1" max="3" width="15.7265625" style="46" customWidth="1"/>
    <col min="4" max="4" width="15.7265625" style="47" customWidth="1"/>
    <col min="5" max="8" width="15.7265625" style="46" customWidth="1"/>
    <col min="9" max="9" width="15.7265625" style="43" customWidth="1"/>
    <col min="10" max="20" width="15.7265625" style="24" customWidth="1"/>
    <col min="21" max="21" width="15.7265625" style="1" customWidth="1"/>
    <col min="22" max="45" width="15.7265625" style="24" customWidth="1"/>
    <col min="46" max="46" width="15.7265625" style="25" customWidth="1"/>
    <col min="47" max="47" width="9.08984375" style="45"/>
    <col min="48" max="54" width="15.7265625" style="24" customWidth="1"/>
    <col min="55" max="55" width="9.08984375" style="45"/>
    <col min="56" max="71" width="15.7265625" style="24" customWidth="1"/>
    <col min="72" max="72" width="15.7265625" style="25" customWidth="1"/>
    <col min="73" max="73" width="15.7265625" style="24" customWidth="1"/>
    <col min="74" max="74" width="9.08984375" style="48"/>
    <col min="75" max="80" width="15.7265625" style="24" customWidth="1"/>
    <col min="81" max="81" width="9.08984375" style="45"/>
    <col min="82" max="89" width="15.7265625" style="24" customWidth="1"/>
    <col min="90" max="90" width="9.08984375" style="45"/>
    <col min="91" max="91" width="15.81640625" style="24" bestFit="1" customWidth="1"/>
    <col min="92" max="92" width="15.7265625" style="24" bestFit="1" customWidth="1"/>
    <col min="93" max="93" width="19.453125" style="24" bestFit="1" customWidth="1"/>
    <col min="94" max="94" width="16.26953125" style="24" bestFit="1" customWidth="1"/>
    <col min="95" max="95" width="14" style="24" bestFit="1" customWidth="1"/>
    <col min="96" max="96" width="13.26953125" style="24" bestFit="1" customWidth="1"/>
    <col min="97" max="16384" width="9.08984375" style="46"/>
  </cols>
  <sheetData>
    <row r="1" spans="1:96" s="71" customFormat="1" ht="30" customHeight="1" x14ac:dyDescent="0.25">
      <c r="A1" s="18" t="s">
        <v>426</v>
      </c>
      <c r="D1" s="72"/>
      <c r="I1" s="73"/>
      <c r="J1" s="74"/>
      <c r="K1" s="74"/>
      <c r="L1" s="74"/>
      <c r="M1" s="74"/>
      <c r="N1" s="74"/>
      <c r="O1" s="74"/>
      <c r="P1" s="74"/>
      <c r="Q1" s="74"/>
      <c r="R1" s="74"/>
      <c r="S1" s="74"/>
      <c r="T1" s="74"/>
      <c r="U1" s="75"/>
      <c r="V1" s="74"/>
      <c r="W1" s="74"/>
      <c r="X1" s="74"/>
      <c r="Y1" s="74"/>
      <c r="Z1" s="74"/>
      <c r="AA1" s="74"/>
      <c r="AB1" s="74"/>
      <c r="AC1" s="74"/>
      <c r="AD1" s="74"/>
      <c r="AE1" s="74"/>
      <c r="AF1" s="74"/>
      <c r="AG1" s="74"/>
      <c r="AH1" s="74"/>
      <c r="AI1" s="74"/>
      <c r="AJ1" s="74"/>
      <c r="AK1" s="74"/>
      <c r="AL1" s="74"/>
      <c r="AM1" s="74"/>
      <c r="AN1" s="74"/>
      <c r="AO1" s="74"/>
      <c r="AP1" s="74"/>
      <c r="AQ1" s="74"/>
      <c r="AR1" s="74"/>
      <c r="AS1" s="74"/>
      <c r="AT1" s="76"/>
      <c r="AU1" s="77"/>
      <c r="AV1" s="74"/>
      <c r="AW1" s="74"/>
      <c r="AX1" s="74"/>
      <c r="AY1" s="74"/>
      <c r="AZ1" s="74"/>
      <c r="BA1" s="74"/>
      <c r="BB1" s="74"/>
      <c r="BC1" s="77"/>
      <c r="BD1" s="74"/>
      <c r="BE1" s="74"/>
      <c r="BF1" s="74"/>
      <c r="BG1" s="74"/>
      <c r="BH1" s="74"/>
      <c r="BI1" s="74"/>
      <c r="BJ1" s="74"/>
      <c r="BK1" s="74"/>
      <c r="BL1" s="74"/>
      <c r="BM1" s="74"/>
      <c r="BN1" s="74"/>
      <c r="BO1" s="74"/>
      <c r="BP1" s="74"/>
      <c r="BQ1" s="74"/>
      <c r="BR1" s="74"/>
      <c r="BS1" s="74"/>
      <c r="BT1" s="76"/>
      <c r="BU1" s="74"/>
      <c r="BV1" s="78"/>
      <c r="BW1" s="74"/>
      <c r="BX1" s="74"/>
      <c r="BY1" s="74"/>
      <c r="BZ1" s="74"/>
      <c r="CA1" s="74"/>
      <c r="CB1" s="74"/>
      <c r="CC1" s="77"/>
      <c r="CD1" s="74"/>
      <c r="CE1" s="74"/>
      <c r="CF1" s="74"/>
      <c r="CG1" s="74"/>
      <c r="CH1" s="74"/>
      <c r="CI1" s="74"/>
      <c r="CJ1" s="74"/>
      <c r="CK1" s="74"/>
      <c r="CL1" s="77"/>
      <c r="CM1" s="74"/>
      <c r="CN1" s="74"/>
      <c r="CO1" s="74"/>
      <c r="CP1" s="74"/>
      <c r="CQ1" s="74"/>
      <c r="CR1" s="74"/>
    </row>
    <row r="2" spans="1:96" s="39" customFormat="1" ht="25" customHeight="1" x14ac:dyDescent="0.25">
      <c r="A2" s="39" t="s">
        <v>0</v>
      </c>
      <c r="B2" s="39" t="s">
        <v>20</v>
      </c>
      <c r="C2" s="39" t="s">
        <v>41</v>
      </c>
      <c r="D2" s="40" t="s">
        <v>40</v>
      </c>
      <c r="E2" s="39" t="s">
        <v>366</v>
      </c>
      <c r="F2" s="39" t="s">
        <v>161</v>
      </c>
      <c r="G2" s="39" t="s">
        <v>162</v>
      </c>
      <c r="H2" s="39" t="s">
        <v>163</v>
      </c>
      <c r="I2" s="39" t="s">
        <v>56</v>
      </c>
      <c r="J2" s="39" t="s">
        <v>108</v>
      </c>
      <c r="K2" s="39" t="s">
        <v>102</v>
      </c>
      <c r="L2" s="39" t="s">
        <v>207</v>
      </c>
      <c r="M2" s="39" t="s">
        <v>205</v>
      </c>
      <c r="N2" s="39" t="s">
        <v>206</v>
      </c>
      <c r="O2" s="39" t="s">
        <v>101</v>
      </c>
      <c r="P2" s="39" t="s">
        <v>343</v>
      </c>
      <c r="Q2" s="39" t="s">
        <v>110</v>
      </c>
      <c r="R2" s="39" t="s">
        <v>111</v>
      </c>
      <c r="S2" s="39" t="s">
        <v>194</v>
      </c>
      <c r="T2" s="39" t="s">
        <v>195</v>
      </c>
      <c r="U2" s="39" t="s">
        <v>57</v>
      </c>
      <c r="V2" s="39" t="s">
        <v>58</v>
      </c>
      <c r="W2" s="39" t="s">
        <v>80</v>
      </c>
      <c r="X2" s="39" t="s">
        <v>81</v>
      </c>
      <c r="Y2" s="39" t="s">
        <v>100</v>
      </c>
      <c r="Z2" s="39" t="s">
        <v>112</v>
      </c>
      <c r="AA2" s="39" t="s">
        <v>192</v>
      </c>
      <c r="AB2" s="39" t="s">
        <v>193</v>
      </c>
      <c r="AC2" s="39" t="s">
        <v>196</v>
      </c>
      <c r="AD2" s="39" t="s">
        <v>82</v>
      </c>
      <c r="AE2" s="39" t="s">
        <v>203</v>
      </c>
      <c r="AF2" s="39" t="s">
        <v>204</v>
      </c>
      <c r="AG2" s="39" t="s">
        <v>181</v>
      </c>
      <c r="AH2" s="39" t="s">
        <v>21</v>
      </c>
      <c r="AI2" s="39" t="s">
        <v>83</v>
      </c>
      <c r="AJ2" s="39" t="s">
        <v>22</v>
      </c>
      <c r="AK2" s="39" t="s">
        <v>23</v>
      </c>
      <c r="AL2" s="39" t="s">
        <v>24</v>
      </c>
      <c r="AM2" s="39" t="s">
        <v>25</v>
      </c>
      <c r="AN2" s="39" t="s">
        <v>63</v>
      </c>
      <c r="AO2" s="39" t="s">
        <v>26</v>
      </c>
      <c r="AP2" s="39" t="s">
        <v>59</v>
      </c>
      <c r="AQ2" s="39" t="s">
        <v>60</v>
      </c>
      <c r="AR2" s="39" t="s">
        <v>156</v>
      </c>
      <c r="AS2" s="39" t="s">
        <v>27</v>
      </c>
      <c r="AT2" s="41" t="s">
        <v>54</v>
      </c>
      <c r="AU2" s="39" t="s">
        <v>84</v>
      </c>
      <c r="AV2" s="39" t="s">
        <v>105</v>
      </c>
      <c r="AW2" s="39" t="s">
        <v>28</v>
      </c>
      <c r="AX2" s="39" t="s">
        <v>29</v>
      </c>
      <c r="AY2" s="39" t="s">
        <v>30</v>
      </c>
      <c r="AZ2" s="39" t="s">
        <v>31</v>
      </c>
      <c r="BA2" s="39" t="s">
        <v>99</v>
      </c>
      <c r="BB2" s="39" t="s">
        <v>64</v>
      </c>
      <c r="BC2" s="39" t="s">
        <v>32</v>
      </c>
      <c r="BD2" s="39" t="s">
        <v>67</v>
      </c>
      <c r="BE2" s="39" t="s">
        <v>68</v>
      </c>
      <c r="BF2" s="39" t="s">
        <v>153</v>
      </c>
      <c r="BG2" s="39" t="s">
        <v>93</v>
      </c>
      <c r="BH2" s="39" t="s">
        <v>7</v>
      </c>
      <c r="BI2" s="39" t="s">
        <v>95</v>
      </c>
      <c r="BJ2" s="39" t="s">
        <v>11</v>
      </c>
      <c r="BK2" s="39" t="s">
        <v>10</v>
      </c>
      <c r="BL2" s="39" t="s">
        <v>8</v>
      </c>
      <c r="BM2" s="39" t="s">
        <v>14</v>
      </c>
      <c r="BN2" s="39" t="s">
        <v>65</v>
      </c>
      <c r="BO2" s="39" t="s">
        <v>17</v>
      </c>
      <c r="BP2" s="39" t="s">
        <v>69</v>
      </c>
      <c r="BQ2" s="39" t="s">
        <v>70</v>
      </c>
      <c r="BR2" s="39" t="s">
        <v>159</v>
      </c>
      <c r="BS2" s="39" t="s">
        <v>18</v>
      </c>
      <c r="BT2" s="41" t="s">
        <v>55</v>
      </c>
      <c r="BU2" s="39" t="s">
        <v>97</v>
      </c>
      <c r="BV2" s="41" t="s">
        <v>96</v>
      </c>
      <c r="BW2" s="39" t="s">
        <v>12</v>
      </c>
      <c r="BX2" s="39" t="s">
        <v>13</v>
      </c>
      <c r="BY2" s="39" t="s">
        <v>9</v>
      </c>
      <c r="BZ2" s="39" t="s">
        <v>16</v>
      </c>
      <c r="CA2" s="39" t="s">
        <v>98</v>
      </c>
      <c r="CB2" s="39" t="s">
        <v>66</v>
      </c>
      <c r="CC2" s="39" t="s">
        <v>15</v>
      </c>
      <c r="CD2" s="39" t="s">
        <v>71</v>
      </c>
      <c r="CE2" s="39" t="s">
        <v>72</v>
      </c>
      <c r="CF2" s="39" t="s">
        <v>157</v>
      </c>
      <c r="CG2" s="39" t="s">
        <v>19</v>
      </c>
    </row>
    <row r="3" spans="1:96" s="42" customFormat="1" ht="25.4" customHeight="1" x14ac:dyDescent="0.25">
      <c r="A3" s="42" t="s">
        <v>316</v>
      </c>
      <c r="B3" s="42" t="s">
        <v>330</v>
      </c>
      <c r="C3" s="42" t="s">
        <v>42</v>
      </c>
      <c r="D3" s="23">
        <v>2021</v>
      </c>
      <c r="E3" s="23" t="b">
        <v>0</v>
      </c>
      <c r="F3" s="23" t="b">
        <v>1</v>
      </c>
      <c r="G3" s="23" t="b">
        <v>0</v>
      </c>
      <c r="H3" s="23" t="b">
        <v>0</v>
      </c>
      <c r="I3" s="43">
        <v>317168</v>
      </c>
      <c r="J3" s="24">
        <v>6.3520000000000003</v>
      </c>
      <c r="K3" s="24">
        <v>1903455.36282205</v>
      </c>
      <c r="L3" s="24">
        <f>Data_SPC[[#This Row],[asset_local]]/Data_SPC[[#This Row],[exchange_rate_usd]]</f>
        <v>299662.36820246378</v>
      </c>
      <c r="M3" s="24">
        <f>(Data_SPC[[#This Row],[asset_local]]+1790178.75270369)/2</f>
        <v>1846817.0577628701</v>
      </c>
      <c r="N3" s="24">
        <f>Data_SPC[[#This Row],[avg_asset_local]]/Data_SPC[[#This Row],[exchange_rate_usd]]</f>
        <v>290745.75846392789</v>
      </c>
      <c r="O3" s="24">
        <v>1123175.41973303</v>
      </c>
      <c r="P3" s="24">
        <f>Data_SPC[[#This Row],[liability_local]]/Data_SPC[[#This Row],[exchange_rate_usd]]</f>
        <v>176822.32678416718</v>
      </c>
      <c r="Q3" s="24">
        <v>780279.94308901997</v>
      </c>
      <c r="R3" s="24">
        <f>Data_SPC[[#This Row],[equity_local]]/Data_SPC[[#This Row],[exchange_rate_usd]]</f>
        <v>122840.04141829659</v>
      </c>
      <c r="S3" s="24">
        <f>(Data_SPC[[#This Row],[equity_local]]+736476.4816085)/2</f>
        <v>758378.21234875999</v>
      </c>
      <c r="T3" s="24">
        <f>Data_SPC[[#This Row],[avg_equity_local]]/Data_SPC[[#This Row],[exchange_rate_usd]]</f>
        <v>119392.03594911208</v>
      </c>
      <c r="U3" s="24">
        <v>692285.07388389995</v>
      </c>
      <c r="V3" s="24">
        <f>Data_SPC[[#This Row],[revenue_local]]/Data_SPC[[#This Row],[exchange_rate_usd]]</f>
        <v>108986.94488096661</v>
      </c>
      <c r="W3" s="24">
        <f>90507.60738425+28196.72338658</f>
        <v>118704.33077083001</v>
      </c>
      <c r="X3" s="24">
        <f>Data_SPC[[#This Row],[ebit_local]]/Data_SPC[[#This Row],[exchange_rate_usd]]</f>
        <v>18687.709504223869</v>
      </c>
      <c r="Y3" s="24">
        <v>62822.933642180004</v>
      </c>
      <c r="Z3" s="24">
        <f>Data_SPC[[#This Row],[net_profit_local]]/Data_SPC[[#This Row],[exchange_rate_usd]]</f>
        <v>9890.2603340963469</v>
      </c>
      <c r="AA3" s="24">
        <v>64178.81354979</v>
      </c>
      <c r="AB3" s="24">
        <f>Data_SPC[[#This Row],[ci_local]]/Data_SPC[[#This Row],[exchange_rate_usd]]</f>
        <v>10103.717498392632</v>
      </c>
      <c r="AC3" s="24">
        <f>Data_SPC[[#This Row],[liability_local]]/Data_SPC[[#This Row],[asset_local]]*100</f>
        <v>59.007184600736728</v>
      </c>
      <c r="AD3" s="24">
        <f>Data_SPC[[#This Row],[ebit_local]]/Data_SPC[[#This Row],[revenue_local]]*100</f>
        <v>17.146741313497881</v>
      </c>
      <c r="AE3" s="24">
        <f>Data_SPC[[#This Row],[net_profit_local]]/Data_SPC[[#This Row],[avg_equity_local]]*100</f>
        <v>8.2838526501984013</v>
      </c>
      <c r="AF3" s="24">
        <f>Data_SPC[[#This Row],[net_profit_local]]/Data_SPC[[#This Row],[avg_asset_local]]*100</f>
        <v>3.4016868849089015</v>
      </c>
      <c r="AG3" s="24"/>
      <c r="AH3" s="24">
        <v>271</v>
      </c>
      <c r="AI3" s="24">
        <v>194</v>
      </c>
      <c r="AJ3" s="24"/>
      <c r="AK3" s="24"/>
      <c r="AL3" s="24"/>
      <c r="AM3" s="24">
        <v>0</v>
      </c>
      <c r="AN3" s="24">
        <f>58.59+Data_SPC[[#This Row],[ic_h2o]]</f>
        <v>77.28</v>
      </c>
      <c r="AO3" s="24">
        <v>18.690000000000001</v>
      </c>
      <c r="AP3" s="24">
        <v>49.99</v>
      </c>
      <c r="AQ3" s="24">
        <v>8.6</v>
      </c>
      <c r="AR3" s="24">
        <v>0</v>
      </c>
      <c r="AS3" s="24">
        <v>0</v>
      </c>
      <c r="AT3" s="44">
        <f>Data_SPC[[#This Row],[ic_total]]/Data_country[[#This Row],[ic_total]]*100</f>
        <v>12.027125383891642</v>
      </c>
      <c r="AU3" s="44">
        <f>Data_SPC[[#This Row],[ic_fossil]]/Data_country[[#This Row],[ic_fossil]]*100</f>
        <v>16.264115827332098</v>
      </c>
      <c r="AV3" s="44">
        <f>Data_SPC[[#This Row],[ic_fossil]]/Data_SPC[[#This Row],[ic_total]]*100</f>
        <v>71.586715867158674</v>
      </c>
      <c r="AW3" s="44"/>
      <c r="AX3" s="44"/>
      <c r="AY3" s="44"/>
      <c r="AZ3" s="44">
        <f>Data_SPC[[#This Row],[ic_nuc]]/Data_SPC[[#This Row],[ic_total]]*100</f>
        <v>0</v>
      </c>
      <c r="BA3" s="44">
        <f>Data_SPC[[#This Row],[ic_re]]/Data_country[[#This Row],[ic_re]]*100</f>
        <v>7.6729846997031297</v>
      </c>
      <c r="BB3" s="44">
        <f>Data_SPC[[#This Row],[ic_re]]/Data_SPC[[#This Row],[ic_total]]*100</f>
        <v>28.516605166051662</v>
      </c>
      <c r="BC3" s="44">
        <f>Data_SPC[[#This Row],[ic_h2o]]/Data_SPC[[#This Row],[ic_total]]*100</f>
        <v>6.8966789667896684</v>
      </c>
      <c r="BD3" s="44">
        <f>Data_SPC[[#This Row],[ic_wind]]/Data_SPC[[#This Row],[ic_total]]*100</f>
        <v>18.446494464944649</v>
      </c>
      <c r="BE3" s="44">
        <f>Data_SPC[[#This Row],[ic_solar]]/Data_SPC[[#This Row],[ic_total]]*100</f>
        <v>3.1734317343173433</v>
      </c>
      <c r="BF3" s="44">
        <f>Data_SPC[[#This Row],[ic_other_re]]/Data_SPC[[#This Row],[ic_total]]*100</f>
        <v>0</v>
      </c>
      <c r="BG3" s="44">
        <f>Data_SPC[[#This Row],[ic_other]]/Data_SPC[[#This Row],[ic_total]]*100</f>
        <v>0</v>
      </c>
      <c r="BH3" s="24">
        <f>1103200/1000</f>
        <v>1103.2</v>
      </c>
      <c r="BI3" s="24">
        <f>Data_SPC[[#This Row],[gen_total]]-Data_SPC[[#This Row],[gen_re]]</f>
        <v>923.30000000000007</v>
      </c>
      <c r="BJ3" s="24"/>
      <c r="BK3" s="24"/>
      <c r="BL3" s="24"/>
      <c r="BM3" s="24">
        <v>0</v>
      </c>
      <c r="BN3" s="24">
        <f>109.4+Data_SPC[[#This Row],[gen_h2o]]</f>
        <v>179.9</v>
      </c>
      <c r="BO3" s="24">
        <v>70.5</v>
      </c>
      <c r="BP3" s="24">
        <f>106600/1000</f>
        <v>106.6</v>
      </c>
      <c r="BQ3" s="24">
        <f>Data_SPC[[#This Row],[gen_re]]-Data_SPC[[#This Row],[gen_h2o]]-Data_SPC[[#This Row],[gen_wind]]</f>
        <v>2.8000000000000114</v>
      </c>
      <c r="BR3" s="24"/>
      <c r="BS3" s="24"/>
      <c r="BT3" s="44">
        <f>Data_SPC[[#This Row],[gen_total]]/Data_country[[#This Row],[gen_total]]*100</f>
        <v>12.926721238865468</v>
      </c>
      <c r="BU3" s="44">
        <f>Data_SPC[[#This Row],[gen_fossil]]/Data_country[[#This Row],[gen_fossil]]*100</f>
        <v>16.260921481570197</v>
      </c>
      <c r="BV3" s="44">
        <f>Data_SPC[[#This Row],[gen_fossil]]/Data_SPC[[#This Row],[gen_total]]*100</f>
        <v>83.69289340101524</v>
      </c>
      <c r="BW3" s="44"/>
      <c r="BX3" s="44"/>
      <c r="BY3" s="44"/>
      <c r="BZ3" s="44">
        <f>Data_SPC[[#This Row],[gen_nuc]]/Data_SPC[[#This Row],[gen_total]]*100</f>
        <v>0</v>
      </c>
      <c r="CA3" s="44">
        <f>Data_SPC[[#This Row],[gen_re]]/Data_country[[#This Row],[gen_re]]*100</f>
        <v>7.3466654143168091</v>
      </c>
      <c r="CB3" s="44">
        <f>Data_SPC[[#This Row],[gen_re]]/Data_SPC[[#This Row],[gen_total]]*100</f>
        <v>16.30710659898477</v>
      </c>
      <c r="CC3" s="44">
        <f>Data_SPC[[#This Row],[gen_h2o]]/Data_SPC[[#This Row],[gen_total]]*100</f>
        <v>6.3905003625815802</v>
      </c>
      <c r="CD3" s="44">
        <f>Data_SPC[[#This Row],[gen_wind]]/Data_SPC[[#This Row],[gen_total]]*100</f>
        <v>9.6627991298042044</v>
      </c>
      <c r="CE3" s="44">
        <f>Data_SPC[[#This Row],[gen_solar]]/Data_SPC[[#This Row],[gen_total]]*100</f>
        <v>0.25380710659898581</v>
      </c>
      <c r="CF3" s="44">
        <f>Data_SPC[[#This Row],[gen_other_re]]/Data_SPC[[#This Row],[gen_total]]*100</f>
        <v>0</v>
      </c>
      <c r="CG3" s="44">
        <f>Data_SPC[[#This Row],[gen_other]]/Data_SPC[[#This Row],[gen_total]]*100</f>
        <v>0</v>
      </c>
    </row>
    <row r="4" spans="1:96" s="42" customFormat="1" ht="25.4" customHeight="1" x14ac:dyDescent="0.25">
      <c r="A4" s="42" t="s">
        <v>316</v>
      </c>
      <c r="B4" s="42" t="s">
        <v>330</v>
      </c>
      <c r="C4" s="42" t="s">
        <v>42</v>
      </c>
      <c r="D4" s="23">
        <v>2022</v>
      </c>
      <c r="E4" s="23" t="b">
        <v>0</v>
      </c>
      <c r="F4" s="23" t="b">
        <v>1</v>
      </c>
      <c r="G4" s="23" t="b">
        <v>0</v>
      </c>
      <c r="H4" s="23" t="b">
        <v>0</v>
      </c>
      <c r="I4" s="43">
        <v>310753</v>
      </c>
      <c r="J4" s="24">
        <v>6.899</v>
      </c>
      <c r="K4" s="24">
        <v>1942391.8708198201</v>
      </c>
      <c r="L4" s="24">
        <f>Data_SPC[[#This Row],[asset_local]]/Data_SPC[[#This Row],[exchange_rate_usd]]</f>
        <v>281546.87212926801</v>
      </c>
      <c r="M4" s="24">
        <f>(Data_SPC[[#This Row],[asset_local]]+K3)/2</f>
        <v>1922923.6168209352</v>
      </c>
      <c r="N4" s="24">
        <f>Data_SPC[[#This Row],[avg_asset_local]]/Data_SPC[[#This Row],[exchange_rate_usd]]</f>
        <v>278724.97707217495</v>
      </c>
      <c r="O4" s="24">
        <v>1134565.99013158</v>
      </c>
      <c r="P4" s="24">
        <f>Data_SPC[[#This Row],[liability_local]]/Data_SPC[[#This Row],[exchange_rate_usd]]</f>
        <v>164453.68751001306</v>
      </c>
      <c r="Q4" s="24">
        <v>807825.88068824005</v>
      </c>
      <c r="R4" s="24">
        <f>Data_SPC[[#This Row],[equity_local]]/Data_SPC[[#This Row],[exchange_rate_usd]]</f>
        <v>117093.18461925497</v>
      </c>
      <c r="S4" s="24">
        <f>(Data_SPC[[#This Row],[equity_local]]+Q3)/2</f>
        <v>794052.91188863001</v>
      </c>
      <c r="T4" s="24">
        <f>Data_SPC[[#This Row],[avg_equity_local]]/Data_SPC[[#This Row],[exchange_rate_usd]]</f>
        <v>115096.81285528773</v>
      </c>
      <c r="U4" s="24">
        <v>817864.58122983004</v>
      </c>
      <c r="V4" s="24">
        <f>Data_SPC[[#This Row],[revenue_local]]/Data_SPC[[#This Row],[exchange_rate_usd]]</f>
        <v>118548.27963905349</v>
      </c>
      <c r="W4" s="24">
        <f>116659.72533092+26439.47839143</f>
        <v>143099.20372235001</v>
      </c>
      <c r="X4" s="24">
        <f>Data_SPC[[#This Row],[ebit_local]]/Data_SPC[[#This Row],[exchange_rate_usd]]</f>
        <v>20742.021122242357</v>
      </c>
      <c r="Y4" s="24">
        <v>80253.94896917</v>
      </c>
      <c r="Z4" s="24">
        <f>Data_SPC[[#This Row],[net_profit_local]]/Data_SPC[[#This Row],[exchange_rate_usd]]</f>
        <v>11632.692994516596</v>
      </c>
      <c r="AA4" s="24">
        <v>81421.389321220006</v>
      </c>
      <c r="AB4" s="24">
        <f>Data_SPC[[#This Row],[ci_local]]/Data_SPC[[#This Row],[exchange_rate_usd]]</f>
        <v>11801.911772897522</v>
      </c>
      <c r="AC4" s="24">
        <f>Data_SPC[[#This Row],[liability_local]]/Data_SPC[[#This Row],[asset_local]]*100</f>
        <v>58.410767012359713</v>
      </c>
      <c r="AD4" s="24">
        <f>Data_SPC[[#This Row],[ebit_local]]/Data_SPC[[#This Row],[revenue_local]]*100</f>
        <v>17.4966867384293</v>
      </c>
      <c r="AE4" s="24">
        <f>Data_SPC[[#This Row],[net_profit_local]]/Data_SPC[[#This Row],[avg_equity_local]]*100</f>
        <v>10.106876729195349</v>
      </c>
      <c r="AF4" s="24">
        <f>Data_SPC[[#This Row],[net_profit_local]]/Data_SPC[[#This Row],[avg_asset_local]]*100</f>
        <v>4.1735380577336443</v>
      </c>
      <c r="AG4" s="24"/>
      <c r="AH4" s="24">
        <v>287.95999999999998</v>
      </c>
      <c r="AI4" s="24">
        <v>199.14</v>
      </c>
      <c r="AJ4" s="24"/>
      <c r="AK4" s="24"/>
      <c r="AL4" s="24"/>
      <c r="AM4" s="24">
        <v>0</v>
      </c>
      <c r="AN4" s="24">
        <f>70.14+Data_SPC[[#This Row],[ic_h2o]]</f>
        <v>88.82</v>
      </c>
      <c r="AO4" s="24">
        <v>18.68</v>
      </c>
      <c r="AP4" s="24">
        <v>53.73</v>
      </c>
      <c r="AQ4" s="24">
        <v>16.399999999999999</v>
      </c>
      <c r="AR4" s="24">
        <v>0</v>
      </c>
      <c r="AS4" s="24">
        <v>0</v>
      </c>
      <c r="AT4" s="44">
        <f>Data_SPC[[#This Row],[ic_total]]/Data_country[[#This Row],[ic_total]]*100</f>
        <v>11.854401146084623</v>
      </c>
      <c r="AU4" s="44">
        <f>Data_SPC[[#This Row],[ic_fossil]]/Data_country[[#This Row],[ic_fossil]]*100</f>
        <v>16.197486681036231</v>
      </c>
      <c r="AV4" s="44">
        <f>Data_SPC[[#This Row],[ic_fossil]]/Data_SPC[[#This Row],[ic_total]]*100</f>
        <v>69.155438255313243</v>
      </c>
      <c r="AW4" s="44"/>
      <c r="AX4" s="44"/>
      <c r="AY4" s="44"/>
      <c r="AZ4" s="44">
        <f>Data_SPC[[#This Row],[ic_nuc]]/Data_SPC[[#This Row],[ic_total]]*100</f>
        <v>0</v>
      </c>
      <c r="BA4" s="44">
        <f>Data_SPC[[#This Row],[ic_re]]/Data_country[[#This Row],[ic_re]]*100</f>
        <v>7.7629002936652203</v>
      </c>
      <c r="BB4" s="44">
        <f>Data_SPC[[#This Row],[ic_re]]/Data_SPC[[#This Row],[ic_total]]*100</f>
        <v>30.844561744686761</v>
      </c>
      <c r="BC4" s="44">
        <f>Data_SPC[[#This Row],[ic_h2o]]/Data_SPC[[#This Row],[ic_total]]*100</f>
        <v>6.4870120850118074</v>
      </c>
      <c r="BD4" s="44">
        <f>Data_SPC[[#This Row],[ic_wind]]/Data_SPC[[#This Row],[ic_total]]*100</f>
        <v>18.658841505764691</v>
      </c>
      <c r="BE4" s="44">
        <f>Data_SPC[[#This Row],[ic_solar]]/Data_SPC[[#This Row],[ic_total]]*100</f>
        <v>5.695235449367968</v>
      </c>
      <c r="BF4" s="44">
        <f>Data_SPC[[#This Row],[ic_other_re]]/Data_SPC[[#This Row],[ic_total]]*100</f>
        <v>0</v>
      </c>
      <c r="BG4" s="44">
        <f>Data_SPC[[#This Row],[ic_other]]/Data_SPC[[#This Row],[ic_total]]*100</f>
        <v>0</v>
      </c>
      <c r="BH4" s="24">
        <v>1139.3</v>
      </c>
      <c r="BI4" s="24">
        <f>Data_SPC[[#This Row],[gen_total]]-Data_SPC[[#This Row],[gen_re]]</f>
        <v>952.69999999999993</v>
      </c>
      <c r="BJ4" s="24"/>
      <c r="BK4" s="24"/>
      <c r="BL4" s="24"/>
      <c r="BM4" s="24">
        <v>0</v>
      </c>
      <c r="BN4" s="24">
        <f>119.2+Data_SPC[[#This Row],[gen_h2o]]</f>
        <v>186.60000000000002</v>
      </c>
      <c r="BO4" s="24">
        <v>67.400000000000006</v>
      </c>
      <c r="BP4" s="24">
        <v>112.7</v>
      </c>
      <c r="BQ4" s="24">
        <f>Data_SPC[[#This Row],[gen_re]]-Data_SPC[[#This Row],[gen_h2o]]-Data_SPC[[#This Row],[gen_wind]]</f>
        <v>6.5000000000000142</v>
      </c>
      <c r="BR4" s="24"/>
      <c r="BS4" s="24"/>
      <c r="BT4" s="44">
        <f>Data_SPC[[#This Row],[gen_total]]/Data_country[[#This Row],[gen_total]]*100</f>
        <v>12.875323069690383</v>
      </c>
      <c r="BU4" s="44">
        <f>Data_SPC[[#This Row],[gen_fossil]]/Data_country[[#This Row],[gen_fossil]]*100</f>
        <v>16.538954297836582</v>
      </c>
      <c r="BV4" s="44">
        <f>Data_SPC[[#This Row],[gen_fossil]]/Data_SPC[[#This Row],[gen_total]]*100</f>
        <v>83.621521987185105</v>
      </c>
      <c r="BW4" s="44"/>
      <c r="BX4" s="44"/>
      <c r="BY4" s="44"/>
      <c r="BZ4" s="44">
        <f>Data_SPC[[#This Row],[gen_nuc]]/Data_SPC[[#This Row],[gen_total]]*100</f>
        <v>0</v>
      </c>
      <c r="CA4" s="44">
        <f>Data_SPC[[#This Row],[gen_re]]/Data_country[[#This Row],[gen_re]]*100</f>
        <v>6.9872200524977623</v>
      </c>
      <c r="CB4" s="44">
        <f>Data_SPC[[#This Row],[gen_re]]/Data_SPC[[#This Row],[gen_total]]*100</f>
        <v>16.378478012814888</v>
      </c>
      <c r="CC4" s="44">
        <f>Data_SPC[[#This Row],[gen_h2o]]/Data_SPC[[#This Row],[gen_total]]*100</f>
        <v>5.9159132800842631</v>
      </c>
      <c r="CD4" s="44">
        <f>Data_SPC[[#This Row],[gen_wind]]/Data_SPC[[#This Row],[gen_total]]*100</f>
        <v>9.8920389712981649</v>
      </c>
      <c r="CE4" s="44">
        <f>Data_SPC[[#This Row],[gen_solar]]/Data_SPC[[#This Row],[gen_total]]*100</f>
        <v>0.57052576143245981</v>
      </c>
      <c r="CF4" s="44">
        <f>Data_SPC[[#This Row],[gen_other_re]]/Data_SPC[[#This Row],[gen_total]]*100</f>
        <v>0</v>
      </c>
      <c r="CG4" s="44">
        <f>Data_SPC[[#This Row],[gen_other]]/Data_SPC[[#This Row],[gen_total]]*100</f>
        <v>0</v>
      </c>
    </row>
    <row r="5" spans="1:96" s="42" customFormat="1" ht="25.4" customHeight="1" x14ac:dyDescent="0.25">
      <c r="A5" s="42" t="s">
        <v>316</v>
      </c>
      <c r="B5" s="42" t="s">
        <v>330</v>
      </c>
      <c r="C5" s="42" t="s">
        <v>42</v>
      </c>
      <c r="D5" s="23">
        <v>2023</v>
      </c>
      <c r="E5" s="23" t="b">
        <v>0</v>
      </c>
      <c r="F5" s="23" t="b">
        <v>1</v>
      </c>
      <c r="G5" s="23" t="b">
        <v>0</v>
      </c>
      <c r="H5" s="23" t="b">
        <v>0</v>
      </c>
      <c r="I5" s="43">
        <v>309037</v>
      </c>
      <c r="J5" s="24">
        <v>7.1050000000000004</v>
      </c>
      <c r="K5" s="24">
        <v>2093022.0671548101</v>
      </c>
      <c r="L5" s="24">
        <f>Data_SPC[[#This Row],[asset_local]]/Data_SPC[[#This Row],[exchange_rate_usd]]</f>
        <v>294584.38665092329</v>
      </c>
      <c r="M5" s="24">
        <f>(Data_SPC[[#This Row],[asset_local]]+K4)/2</f>
        <v>2017706.968987315</v>
      </c>
      <c r="N5" s="24">
        <f>Data_SPC[[#This Row],[avg_asset_local]]/Data_SPC[[#This Row],[exchange_rate_usd]]</f>
        <v>283984.09134233848</v>
      </c>
      <c r="O5" s="24">
        <v>1231764.6549740401</v>
      </c>
      <c r="P5" s="24">
        <f>Data_SPC[[#This Row],[liability_local]]/Data_SPC[[#This Row],[exchange_rate_usd]]</f>
        <v>173365.89091823224</v>
      </c>
      <c r="Q5" s="24">
        <v>861257.41218076996</v>
      </c>
      <c r="R5" s="24">
        <f>Data_SPC[[#This Row],[equity_local]]/Data_SPC[[#This Row],[exchange_rate_usd]]</f>
        <v>121218.49573269105</v>
      </c>
      <c r="S5" s="24">
        <f>(Data_SPC[[#This Row],[equity_local]]+Q4)/2</f>
        <v>834541.646434505</v>
      </c>
      <c r="T5" s="24">
        <f>Data_SPC[[#This Row],[avg_equity_local]]/Data_SPC[[#This Row],[exchange_rate_usd]]</f>
        <v>117458.3598078121</v>
      </c>
      <c r="U5" s="24">
        <v>793218.97441163997</v>
      </c>
      <c r="V5" s="24">
        <f>Data_SPC[[#This Row],[revenue_local]]/Data_SPC[[#This Row],[exchange_rate_usd]]</f>
        <v>111642.36093056157</v>
      </c>
      <c r="W5" s="24">
        <f>123290.17944974+23030.47232756</f>
        <v>146320.65177729999</v>
      </c>
      <c r="X5" s="24">
        <f>Data_SPC[[#This Row],[ebit_local]]/Data_SPC[[#This Row],[exchange_rate_usd]]</f>
        <v>20594.039659014776</v>
      </c>
      <c r="Y5" s="24">
        <v>88490.921819370007</v>
      </c>
      <c r="Z5" s="24">
        <f>Data_SPC[[#This Row],[net_profit_local]]/Data_SPC[[#This Row],[exchange_rate_usd]]</f>
        <v>12454.739172325124</v>
      </c>
      <c r="AA5" s="24">
        <v>90931.288250390004</v>
      </c>
      <c r="AB5" s="24">
        <f>Data_SPC[[#This Row],[ci_local]]/Data_SPC[[#This Row],[exchange_rate_usd]]</f>
        <v>12798.210872679803</v>
      </c>
      <c r="AC5" s="24">
        <f>Data_SPC[[#This Row],[liability_local]]/Data_SPC[[#This Row],[asset_local]]*100</f>
        <v>58.851011382238468</v>
      </c>
      <c r="AD5" s="24">
        <f>Data_SPC[[#This Row],[ebit_local]]/Data_SPC[[#This Row],[revenue_local]]*100</f>
        <v>18.446438688110238</v>
      </c>
      <c r="AE5" s="24">
        <f>Data_SPC[[#This Row],[net_profit_local]]/Data_SPC[[#This Row],[avg_equity_local]]*100</f>
        <v>10.603535748927396</v>
      </c>
      <c r="AF5" s="24">
        <f>Data_SPC[[#This Row],[net_profit_local]]/Data_SPC[[#This Row],[avg_asset_local]]*100</f>
        <v>4.3857172116416638</v>
      </c>
      <c r="AG5" s="24"/>
      <c r="AH5" s="24">
        <v>324</v>
      </c>
      <c r="AI5" s="24">
        <v>209</v>
      </c>
      <c r="AJ5" s="24"/>
      <c r="AK5" s="24"/>
      <c r="AL5" s="24"/>
      <c r="AM5" s="24">
        <v>0</v>
      </c>
      <c r="AN5" s="24">
        <f>96.23+Data_SPC[[#This Row],[ic_h2o]]</f>
        <v>114.9</v>
      </c>
      <c r="AO5" s="24">
        <v>18.670000000000002</v>
      </c>
      <c r="AP5" s="24">
        <v>60.78</v>
      </c>
      <c r="AQ5" s="24">
        <v>35.44</v>
      </c>
      <c r="AR5" s="24"/>
      <c r="AS5" s="24"/>
      <c r="AT5" s="44">
        <f>Data_SPC[[#This Row],[ic_total]]/Data_country[[#This Row],[ic_total]]*100</f>
        <v>11.638265467398488</v>
      </c>
      <c r="AU5" s="44">
        <f>Data_SPC[[#This Row],[ic_fossil]]/Data_country[[#This Row],[ic_fossil]]*100</f>
        <v>16.24903788591465</v>
      </c>
      <c r="AV5" s="44">
        <f>Data_SPC[[#This Row],[ic_fossil]]/Data_SPC[[#This Row],[ic_total]]*100</f>
        <v>64.506172839506178</v>
      </c>
      <c r="AW5" s="44"/>
      <c r="AX5" s="44"/>
      <c r="AY5" s="44"/>
      <c r="AZ5" s="44">
        <f>Data_SPC[[#This Row],[ic_nuc]]/Data_SPC[[#This Row],[ic_total]]*100</f>
        <v>0</v>
      </c>
      <c r="BA5" s="44">
        <f>Data_SPC[[#This Row],[ic_re]]/Data_country[[#This Row],[ic_re]]*100</f>
        <v>7.9748469578978058</v>
      </c>
      <c r="BB5" s="44">
        <f>Data_SPC[[#This Row],[ic_re]]/Data_SPC[[#This Row],[ic_total]]*100</f>
        <v>35.462962962962962</v>
      </c>
      <c r="BC5" s="44">
        <f>Data_SPC[[#This Row],[ic_h2o]]/Data_SPC[[#This Row],[ic_total]]*100</f>
        <v>5.7623456790123466</v>
      </c>
      <c r="BD5" s="44">
        <f>Data_SPC[[#This Row],[ic_wind]]/Data_SPC[[#This Row],[ic_total]]*100</f>
        <v>18.75925925925926</v>
      </c>
      <c r="BE5" s="44">
        <f>Data_SPC[[#This Row],[ic_solar]]/Data_SPC[[#This Row],[ic_total]]*100</f>
        <v>10.93827160493827</v>
      </c>
      <c r="BF5" s="44">
        <f>Data_SPC[[#This Row],[ic_other_re]]/Data_SPC[[#This Row],[ic_total]]*100</f>
        <v>0</v>
      </c>
      <c r="BG5" s="44">
        <f>Data_SPC[[#This Row],[ic_other]]/Data_SPC[[#This Row],[ic_total]]*100</f>
        <v>0</v>
      </c>
      <c r="BH5" s="24">
        <v>1216.3</v>
      </c>
      <c r="BI5" s="24">
        <f>Data_SPC[[#This Row],[gen_total]]-Data_SPC[[#This Row],[gen_re]]</f>
        <v>1004.0999999999999</v>
      </c>
      <c r="BJ5" s="24"/>
      <c r="BK5" s="24"/>
      <c r="BL5" s="24"/>
      <c r="BM5" s="24">
        <v>0</v>
      </c>
      <c r="BN5" s="24">
        <f>146.6+Data_SPC[[#This Row],[gen_h2o]]</f>
        <v>212.2</v>
      </c>
      <c r="BO5" s="24">
        <v>65.599999999999994</v>
      </c>
      <c r="BP5" s="24">
        <v>125.1</v>
      </c>
      <c r="BQ5" s="24">
        <f>Data_SPC[[#This Row],[gen_re]]-Data_SPC[[#This Row],[gen_h2o]]-Data_SPC[[#This Row],[gen_wind]]</f>
        <v>21.5</v>
      </c>
      <c r="BR5" s="24"/>
      <c r="BS5" s="24"/>
      <c r="BT5" s="44">
        <f>Data_SPC[[#This Row],[gen_total]]/Data_country[[#This Row],[gen_total]]*100</f>
        <v>12.862120563213466</v>
      </c>
      <c r="BU5" s="44">
        <f>Data_SPC[[#This Row],[gen_fossil]]/Data_country[[#This Row],[gen_fossil]]*100</f>
        <v>16.386566964445993</v>
      </c>
      <c r="BV5" s="44">
        <f>Data_SPC[[#This Row],[gen_fossil]]/Data_SPC[[#This Row],[gen_total]]*100</f>
        <v>82.553646304365685</v>
      </c>
      <c r="BW5" s="44"/>
      <c r="BX5" s="44"/>
      <c r="BY5" s="44"/>
      <c r="BZ5" s="44">
        <f>Data_SPC[[#This Row],[gen_nuc]]/Data_SPC[[#This Row],[gen_total]]*100</f>
        <v>0</v>
      </c>
      <c r="CA5" s="44">
        <f>Data_SPC[[#This Row],[gen_re]]/Data_country[[#This Row],[gen_re]]*100</f>
        <v>7.3320318573674479</v>
      </c>
      <c r="CB5" s="44">
        <f>Data_SPC[[#This Row],[gen_re]]/Data_SPC[[#This Row],[gen_total]]*100</f>
        <v>17.446353695634301</v>
      </c>
      <c r="CC5" s="44">
        <f>Data_SPC[[#This Row],[gen_h2o]]/Data_SPC[[#This Row],[gen_total]]*100</f>
        <v>5.3934062320151277</v>
      </c>
      <c r="CD5" s="44">
        <f>Data_SPC[[#This Row],[gen_wind]]/Data_SPC[[#This Row],[gen_total]]*100</f>
        <v>10.28529145769958</v>
      </c>
      <c r="CE5" s="44">
        <f>Data_SPC[[#This Row],[gen_solar]]/Data_SPC[[#This Row],[gen_total]]*100</f>
        <v>1.7676560059195923</v>
      </c>
      <c r="CF5" s="44">
        <f>Data_SPC[[#This Row],[gen_other_re]]/Data_SPC[[#This Row],[gen_total]]*100</f>
        <v>0</v>
      </c>
      <c r="CG5" s="44">
        <f>Data_SPC[[#This Row],[gen_other]]/Data_SPC[[#This Row],[gen_total]]*100</f>
        <v>0</v>
      </c>
    </row>
    <row r="6" spans="1:96" s="42" customFormat="1" ht="25.4" customHeight="1" x14ac:dyDescent="0.25">
      <c r="A6" s="42" t="s">
        <v>316</v>
      </c>
      <c r="B6" s="42" t="s">
        <v>331</v>
      </c>
      <c r="C6" s="42" t="s">
        <v>46</v>
      </c>
      <c r="D6" s="23">
        <v>2021</v>
      </c>
      <c r="E6" s="23" t="b">
        <v>0</v>
      </c>
      <c r="F6" s="23" t="b">
        <v>1</v>
      </c>
      <c r="G6" s="23" t="b">
        <v>0</v>
      </c>
      <c r="H6" s="23" t="b">
        <v>0</v>
      </c>
      <c r="I6" s="43">
        <v>93874</v>
      </c>
      <c r="J6" s="24">
        <v>6.3520000000000003</v>
      </c>
      <c r="K6" s="24">
        <v>829918.36932697997</v>
      </c>
      <c r="L6" s="24">
        <f>Data_SPC[[#This Row],[asset_local]]/Data_SPC[[#This Row],[exchange_rate_usd]]</f>
        <v>130654.6551207462</v>
      </c>
      <c r="M6" s="24">
        <f>(Data_SPC[[#This Row],[asset_local]]+793371.27839998)/2</f>
        <v>811644.82386348001</v>
      </c>
      <c r="N6" s="24">
        <f>Data_SPC[[#This Row],[avg_asset_local]]/Data_SPC[[#This Row],[exchange_rate_usd]]</f>
        <v>127777.8375099937</v>
      </c>
      <c r="O6" s="24">
        <v>628996.84452225</v>
      </c>
      <c r="P6" s="24">
        <f>Data_SPC[[#This Row],[liability_local]]/Data_SPC[[#This Row],[exchange_rate_usd]]</f>
        <v>99023.432701865546</v>
      </c>
      <c r="Q6" s="24">
        <v>200921.52480473</v>
      </c>
      <c r="R6" s="24">
        <f>Data_SPC[[#This Row],[equity_local]]/Data_SPC[[#This Row],[exchange_rate_usd]]</f>
        <v>31631.222418880665</v>
      </c>
      <c r="S6" s="24">
        <f>(Data_SPC[[#This Row],[equity_local]]+240392.14112217)/2</f>
        <v>220656.83296345</v>
      </c>
      <c r="T6" s="24">
        <f>Data_SPC[[#This Row],[avg_equity_local]]/Data_SPC[[#This Row],[exchange_rate_usd]]</f>
        <v>34738.166398528017</v>
      </c>
      <c r="U6" s="24">
        <v>224624.06317767</v>
      </c>
      <c r="V6" s="24">
        <f>Data_SPC[[#This Row],[revenue_local]]/Data_SPC[[#This Row],[exchange_rate_usd]]</f>
        <v>35362.730349129408</v>
      </c>
      <c r="W6" s="24">
        <f>-21155.09408161+16669.1774697</f>
        <v>-4485.9166119100009</v>
      </c>
      <c r="X6" s="24">
        <f>Data_SPC[[#This Row],[ebit_local]]/Data_SPC[[#This Row],[exchange_rate_usd]]</f>
        <v>-706.22112907903033</v>
      </c>
      <c r="Y6" s="24">
        <v>-24162.05558081</v>
      </c>
      <c r="Z6" s="24">
        <f>Data_SPC[[#This Row],[net_profit_local]]/Data_SPC[[#This Row],[exchange_rate_usd]]</f>
        <v>-3803.8500599511963</v>
      </c>
      <c r="AA6" s="24">
        <v>-23947.903384289999</v>
      </c>
      <c r="AB6" s="24">
        <f>Data_SPC[[#This Row],[ci_local]]/Data_SPC[[#This Row],[exchange_rate_usd]]</f>
        <v>-3770.1359232194582</v>
      </c>
      <c r="AC6" s="24">
        <f>Data_SPC[[#This Row],[liability_local]]/Data_SPC[[#This Row],[asset_local]]*100</f>
        <v>75.790206334670401</v>
      </c>
      <c r="AD6" s="24">
        <f>Data_SPC[[#This Row],[ebit_local]]/Data_SPC[[#This Row],[revenue_local]]*100</f>
        <v>-1.9970774940357987</v>
      </c>
      <c r="AE6" s="24">
        <f>Data_SPC[[#This Row],[net_profit_local]]/Data_SPC[[#This Row],[avg_equity_local]]*100</f>
        <v>-10.950059989672853</v>
      </c>
      <c r="AF6" s="24">
        <f>Data_SPC[[#This Row],[net_profit_local]]/Data_SPC[[#This Row],[avg_asset_local]]*100</f>
        <v>-2.9769247422532814</v>
      </c>
      <c r="AG6" s="24"/>
      <c r="AH6" s="24">
        <v>163.98179999999999</v>
      </c>
      <c r="AI6" s="24">
        <f>SUM(Data_SPC[[#This Row],[ic_oil]:[ic_coal]])</f>
        <v>106.02540710000001</v>
      </c>
      <c r="AJ6" s="24"/>
      <c r="AK6" s="24">
        <f>6.0735+0.005</f>
        <v>6.0785</v>
      </c>
      <c r="AL6" s="24">
        <f>Data_SPC[[#This Row],[ic_total]]*(1-39.05%)</f>
        <v>99.946907100000004</v>
      </c>
      <c r="AM6" s="24">
        <v>0</v>
      </c>
      <c r="AN6" s="24">
        <f>SUM(Data_SPC[[#This Row],[ic_h2o]:[ic_other_re]])</f>
        <v>57.9923</v>
      </c>
      <c r="AO6" s="24">
        <v>27.1633</v>
      </c>
      <c r="AP6" s="24">
        <v>25.4514</v>
      </c>
      <c r="AQ6" s="24">
        <v>5.3475999999999999</v>
      </c>
      <c r="AR6" s="24">
        <f>0.03</f>
        <v>0.03</v>
      </c>
      <c r="AS6" s="24">
        <v>0</v>
      </c>
      <c r="AT6" s="44">
        <f>Data_SPC[[#This Row],[ic_total]]/Data_country!AC3*100</f>
        <v>7.2776002556318904</v>
      </c>
      <c r="AU6" s="44">
        <f>Data_SPC[[#This Row],[ic_fossil]]/Data_country!AD3*100</f>
        <v>8.8887087717239126</v>
      </c>
      <c r="AV6" s="44">
        <f>Data_SPC[[#This Row],[ic_fossil]]/Data_SPC[[#This Row],[ic_total]]*100</f>
        <v>64.656813804946651</v>
      </c>
      <c r="AW6" s="44">
        <f>Data_SPC[[#This Row],[ic_oil]]/Data_SPC[[#This Row],[ic_total]]*100</f>
        <v>0</v>
      </c>
      <c r="AX6" s="44">
        <f>Data_SPC[[#This Row],[ic_gas]]/Data_SPC[[#This Row],[ic_total]]*100</f>
        <v>3.7068138049466466</v>
      </c>
      <c r="AY6" s="44">
        <f>Data_SPC[[#This Row],[ic_coal]]/Data_SPC[[#This Row],[ic_total]]*100</f>
        <v>60.95</v>
      </c>
      <c r="AZ6" s="44">
        <f>Data_SPC[[#This Row],[ic_nuc]]/Data_SPC[[#This Row],[ic_total]]*100</f>
        <v>0</v>
      </c>
      <c r="BA6" s="44">
        <f>Data_SPC[[#This Row],[ic_re]]/Data_country!AI3*100</f>
        <v>5.7579455305459852</v>
      </c>
      <c r="BB6" s="44">
        <f>Data_SPC[[#This Row],[ic_re]]/Data_SPC[[#This Row],[ic_total]]*100</f>
        <v>35.365083198257366</v>
      </c>
      <c r="BC6" s="44">
        <f>Data_SPC[[#This Row],[ic_h2o]]/Data_SPC[[#This Row],[ic_total]]*100</f>
        <v>16.564826096554619</v>
      </c>
      <c r="BD6" s="44">
        <f>Data_SPC[[#This Row],[ic_wind]]/Data_SPC[[#This Row],[ic_total]]*100</f>
        <v>15.520868779340146</v>
      </c>
      <c r="BE6" s="44">
        <f>Data_SPC[[#This Row],[ic_solar]]/Data_SPC[[#This Row],[ic_total]]*100</f>
        <v>3.2610936091688227</v>
      </c>
      <c r="BF6" s="44">
        <f>Data_SPC[[#This Row],[ic_other_re]]/Data_SPC[[#This Row],[ic_total]]*100</f>
        <v>1.8294713193781259E-2</v>
      </c>
      <c r="BG6" s="44">
        <f>Data_SPC[[#This Row],[ic_other]]/Data_SPC[[#This Row],[ic_total]]*100</f>
        <v>0</v>
      </c>
      <c r="BH6" s="24">
        <v>592.09100000000001</v>
      </c>
      <c r="BI6" s="24">
        <f>Data_SPC[[#This Row],[gen_total]]-Data_SPC[[#This Row],[gen_re]]</f>
        <v>440.60900000000004</v>
      </c>
      <c r="BJ6" s="24"/>
      <c r="BK6" s="24"/>
      <c r="BL6" s="24"/>
      <c r="BM6" s="24">
        <v>0</v>
      </c>
      <c r="BN6" s="24">
        <f>SUM(Data_SPC[[#This Row],[gen_h2o]:[gen_other]])</f>
        <v>151.482</v>
      </c>
      <c r="BO6" s="24">
        <v>94.652000000000001</v>
      </c>
      <c r="BP6" s="24">
        <v>52.143999999999998</v>
      </c>
      <c r="BQ6" s="24">
        <v>4.6859999999999999</v>
      </c>
      <c r="BR6" s="24"/>
      <c r="BS6" s="24"/>
      <c r="BT6" s="44">
        <f>Data_SPC[[#This Row],[gen_total]]/Data_country!AZ3*100</f>
        <v>6.9378130031191922</v>
      </c>
      <c r="BU6" s="44">
        <f>Data_SPC[[#This Row],[gen_fossil]]/Data_country!BA3*100</f>
        <v>7.7598920752444078</v>
      </c>
      <c r="BV6" s="44">
        <f>Data_SPC[[#This Row],[gen_fossil]]/Data_SPC[[#This Row],[gen_total]]*100</f>
        <v>74.415757037347305</v>
      </c>
      <c r="BW6" s="44"/>
      <c r="BX6" s="44"/>
      <c r="BY6" s="44"/>
      <c r="BZ6" s="44">
        <f>Data_SPC[[#This Row],[gen_nuc]]/Data_SPC[[#This Row],[gen_total]]*100</f>
        <v>0</v>
      </c>
      <c r="CA6" s="44">
        <f>Data_SPC[[#This Row],[gen_re]]/Data_country!BF3*100</f>
        <v>6.1861454713259523</v>
      </c>
      <c r="CB6" s="44">
        <f>Data_SPC[[#This Row],[gen_re]]/Data_SPC[[#This Row],[gen_total]]*100</f>
        <v>25.584242962652699</v>
      </c>
      <c r="CC6" s="44">
        <f>Data_SPC[[#This Row],[gen_h2o]]/Data_SPC[[#This Row],[gen_total]]*100</f>
        <v>15.986056197442622</v>
      </c>
      <c r="CD6" s="44">
        <f>Data_SPC[[#This Row],[gen_wind]]/Data_SPC[[#This Row],[gen_total]]*100</f>
        <v>8.8067543671496438</v>
      </c>
      <c r="CE6" s="44">
        <f>Data_SPC[[#This Row],[gen_solar]]/Data_SPC[[#This Row],[gen_total]]*100</f>
        <v>0.79143239806043331</v>
      </c>
      <c r="CF6" s="44">
        <f>Data_SPC[[#This Row],[gen_other_re]]/Data_SPC[[#This Row],[gen_total]]*100</f>
        <v>0</v>
      </c>
      <c r="CG6" s="44">
        <f>Data_SPC[[#This Row],[gen_other]]/Data_SPC[[#This Row],[gen_total]]*100</f>
        <v>0</v>
      </c>
    </row>
    <row r="7" spans="1:96" s="42" customFormat="1" ht="25.4" customHeight="1" x14ac:dyDescent="0.25">
      <c r="A7" s="42" t="s">
        <v>316</v>
      </c>
      <c r="B7" s="42" t="s">
        <v>331</v>
      </c>
      <c r="C7" s="42" t="s">
        <v>46</v>
      </c>
      <c r="D7" s="23">
        <v>2022</v>
      </c>
      <c r="E7" s="23" t="b">
        <v>0</v>
      </c>
      <c r="F7" s="23" t="b">
        <v>1</v>
      </c>
      <c r="G7" s="23" t="b">
        <v>0</v>
      </c>
      <c r="H7" s="23" t="b">
        <v>0</v>
      </c>
      <c r="I7" s="43">
        <v>91272</v>
      </c>
      <c r="J7" s="24">
        <v>6.899</v>
      </c>
      <c r="K7" s="24">
        <v>850129.66713632003</v>
      </c>
      <c r="L7" s="24">
        <f>Data_SPC[[#This Row],[asset_local]]/Data_SPC[[#This Row],[exchange_rate_usd]]</f>
        <v>123225.05683958835</v>
      </c>
      <c r="M7" s="24">
        <f>(Data_SPC[[#This Row],[asset_local]]+K6)/2</f>
        <v>840024.01823165</v>
      </c>
      <c r="N7" s="24">
        <f>Data_SPC[[#This Row],[avg_asset_local]]/Data_SPC[[#This Row],[exchange_rate_usd]]</f>
        <v>121760.25775208726</v>
      </c>
      <c r="O7" s="24">
        <v>615285.09871370997</v>
      </c>
      <c r="P7" s="24">
        <f>Data_SPC[[#This Row],[liability_local]]/Data_SPC[[#This Row],[exchange_rate_usd]]</f>
        <v>89184.678752530803</v>
      </c>
      <c r="Q7" s="24">
        <v>234844.56842261</v>
      </c>
      <c r="R7" s="24">
        <f>Data_SPC[[#This Row],[equity_local]]/Data_SPC[[#This Row],[exchange_rate_usd]]</f>
        <v>34040.378087057543</v>
      </c>
      <c r="S7" s="24">
        <f>(Data_SPC[[#This Row],[equity_local]]+Q6)/2</f>
        <v>217883.04661367001</v>
      </c>
      <c r="T7" s="24">
        <f>Data_SPC[[#This Row],[avg_equity_local]]/Data_SPC[[#This Row],[exchange_rate_usd]]</f>
        <v>31581.830209257867</v>
      </c>
      <c r="U7" s="24">
        <v>252551.64265182</v>
      </c>
      <c r="V7" s="24">
        <f>Data_SPC[[#This Row],[revenue_local]]/Data_SPC[[#This Row],[exchange_rate_usd]]</f>
        <v>36606.992702104653</v>
      </c>
      <c r="W7" s="24">
        <f>7504.00445848+16462.29626001</f>
        <v>23966.300718489998</v>
      </c>
      <c r="X7" s="24">
        <f>Data_SPC[[#This Row],[ebit_local]]/Data_SPC[[#This Row],[exchange_rate_usd]]</f>
        <v>3473.8803766473397</v>
      </c>
      <c r="Y7" s="24">
        <v>4551.5669855200003</v>
      </c>
      <c r="Z7" s="24">
        <f>Data_SPC[[#This Row],[net_profit_local]]/Data_SPC[[#This Row],[exchange_rate_usd]]</f>
        <v>659.74300413393246</v>
      </c>
      <c r="AA7" s="24">
        <v>4625.9242372199997</v>
      </c>
      <c r="AB7" s="24">
        <f>Data_SPC[[#This Row],[ci_local]]/Data_SPC[[#This Row],[exchange_rate_usd]]</f>
        <v>670.52097944919547</v>
      </c>
      <c r="AC7" s="24">
        <f>Data_SPC[[#This Row],[liability_local]]/Data_SPC[[#This Row],[asset_local]]*100</f>
        <v>72.375441359000092</v>
      </c>
      <c r="AD7" s="24">
        <f>Data_SPC[[#This Row],[ebit_local]]/Data_SPC[[#This Row],[revenue_local]]*100</f>
        <v>9.489663368189257</v>
      </c>
      <c r="AE7" s="24">
        <f>Data_SPC[[#This Row],[net_profit_local]]/Data_SPC[[#This Row],[avg_equity_local]]*100</f>
        <v>2.0889954754444098</v>
      </c>
      <c r="AF7" s="24">
        <f>Data_SPC[[#This Row],[net_profit_local]]/Data_SPC[[#This Row],[avg_asset_local]]*100</f>
        <v>0.54183771972396544</v>
      </c>
      <c r="AG7" s="24"/>
      <c r="AH7" s="24">
        <v>170.15459999999999</v>
      </c>
      <c r="AI7" s="24">
        <f>SUM(Data_SPC[[#This Row],[ic_oil]:[ic_coal]])</f>
        <v>107.21516800000001</v>
      </c>
      <c r="AJ7" s="24"/>
      <c r="AK7" s="24">
        <v>8.5254999999999992</v>
      </c>
      <c r="AL7" s="24">
        <f>Data_SPC[[#This Row],[ic_total]]*(1-42%)</f>
        <v>98.689668000000012</v>
      </c>
      <c r="AM7" s="24">
        <v>0</v>
      </c>
      <c r="AN7" s="24">
        <f>SUM(Data_SPC[[#This Row],[ic_h2o]:[ic_other_re]])</f>
        <v>63.093199999999996</v>
      </c>
      <c r="AO7" s="24">
        <v>27.707699999999999</v>
      </c>
      <c r="AP7" s="24">
        <v>26.759699999999999</v>
      </c>
      <c r="AQ7" s="24">
        <v>8.5958000000000006</v>
      </c>
      <c r="AR7" s="24">
        <v>0.03</v>
      </c>
      <c r="AS7" s="24">
        <v>0</v>
      </c>
      <c r="AT7" s="44">
        <f>Data_SPC[[#This Row],[ic_total]]/Data_country!AC4*100</f>
        <v>7.0047259523946748</v>
      </c>
      <c r="AU7" s="44">
        <f>Data_SPC[[#This Row],[ic_fossil]]/Data_country!AD4*100</f>
        <v>8.7205797714425142</v>
      </c>
      <c r="AV7" s="44">
        <f>Data_SPC[[#This Row],[ic_fossil]]/Data_SPC[[#This Row],[ic_total]]*100</f>
        <v>63.010443443785832</v>
      </c>
      <c r="AW7" s="44">
        <f>Data_SPC[[#This Row],[ic_oil]]/Data_SPC[[#This Row],[ic_total]]*100</f>
        <v>0</v>
      </c>
      <c r="AX7" s="44">
        <f>Data_SPC[[#This Row],[ic_gas]]/Data_SPC[[#This Row],[ic_total]]*100</f>
        <v>5.0104434437858272</v>
      </c>
      <c r="AY7" s="44">
        <f>Data_SPC[[#This Row],[ic_coal]]/Data_SPC[[#This Row],[ic_total]]*100</f>
        <v>58.000000000000007</v>
      </c>
      <c r="AZ7" s="44">
        <f>Data_SPC[[#This Row],[ic_nuc]]/Data_SPC[[#This Row],[ic_total]]*100</f>
        <v>0</v>
      </c>
      <c r="BA7" s="44">
        <f>Data_SPC[[#This Row],[ic_re]]/Data_country!AI4*100</f>
        <v>5.5143686197734576</v>
      </c>
      <c r="BB7" s="44">
        <f>Data_SPC[[#This Row],[ic_re]]/Data_SPC[[#This Row],[ic_total]]*100</f>
        <v>37.079926137759429</v>
      </c>
      <c r="BC7" s="44">
        <f>Data_SPC[[#This Row],[ic_h2o]]/Data_SPC[[#This Row],[ic_total]]*100</f>
        <v>16.283838344658331</v>
      </c>
      <c r="BD7" s="44">
        <f>Data_SPC[[#This Row],[ic_wind]]/Data_SPC[[#This Row],[ic_total]]*100</f>
        <v>15.726697955858967</v>
      </c>
      <c r="BE7" s="44">
        <f>Data_SPC[[#This Row],[ic_solar]]/Data_SPC[[#This Row],[ic_total]]*100</f>
        <v>5.0517588122801271</v>
      </c>
      <c r="BF7" s="44">
        <f>Data_SPC[[#This Row],[ic_other_re]]/Data_SPC[[#This Row],[ic_total]]*100</f>
        <v>1.7631024962005141E-2</v>
      </c>
      <c r="BG7" s="44">
        <f>Data_SPC[[#This Row],[ic_other]]/Data_SPC[[#This Row],[ic_total]]*100</f>
        <v>0</v>
      </c>
      <c r="BH7" s="24">
        <v>588.46199999999999</v>
      </c>
      <c r="BI7" s="24">
        <f>Data_SPC[[#This Row],[gen_total]]-Data_SPC[[#This Row],[gen_re]]</f>
        <v>424.50800000000004</v>
      </c>
      <c r="BJ7" s="24"/>
      <c r="BK7" s="24"/>
      <c r="BL7" s="24"/>
      <c r="BM7" s="24">
        <v>0</v>
      </c>
      <c r="BN7" s="24">
        <f>SUM(Data_SPC[[#This Row],[gen_h2o]:[gen_other]])</f>
        <v>163.95399999999998</v>
      </c>
      <c r="BO7" s="24">
        <v>98.563999999999993</v>
      </c>
      <c r="BP7" s="24">
        <v>57.392000000000003</v>
      </c>
      <c r="BQ7" s="24">
        <v>7.9980000000000002</v>
      </c>
      <c r="BR7" s="24"/>
      <c r="BS7" s="24"/>
      <c r="BT7" s="44">
        <f>Data_SPC[[#This Row],[gen_total]]/Data_country!AZ4*100</f>
        <v>6.6502574951603126</v>
      </c>
      <c r="BU7" s="44">
        <f>Data_SPC[[#This Row],[gen_fossil]]/Data_country!BA4*100</f>
        <v>7.3694955506098596</v>
      </c>
      <c r="BV7" s="44">
        <f>Data_SPC[[#This Row],[gen_fossil]]/Data_SPC[[#This Row],[gen_total]]*100</f>
        <v>72.138557799823957</v>
      </c>
      <c r="BW7" s="44"/>
      <c r="BX7" s="44"/>
      <c r="BY7" s="44"/>
      <c r="BZ7" s="44">
        <f>Data_SPC[[#This Row],[gen_nuc]]/Data_SPC[[#This Row],[gen_total]]*100</f>
        <v>0</v>
      </c>
      <c r="CA7" s="44">
        <f>Data_SPC[[#This Row],[gen_re]]/Data_country!BF4*100</f>
        <v>6.1392426392669774</v>
      </c>
      <c r="CB7" s="44">
        <f>Data_SPC[[#This Row],[gen_re]]/Data_SPC[[#This Row],[gen_total]]*100</f>
        <v>27.86144220017605</v>
      </c>
      <c r="CC7" s="44">
        <f>Data_SPC[[#This Row],[gen_h2o]]/Data_SPC[[#This Row],[gen_total]]*100</f>
        <v>16.74942477169299</v>
      </c>
      <c r="CD7" s="44">
        <f>Data_SPC[[#This Row],[gen_wind]]/Data_SPC[[#This Row],[gen_total]]*100</f>
        <v>9.7528812395702698</v>
      </c>
      <c r="CE7" s="44">
        <f>Data_SPC[[#This Row],[gen_solar]]/Data_SPC[[#This Row],[gen_total]]*100</f>
        <v>1.3591361889127931</v>
      </c>
      <c r="CF7" s="44">
        <f>Data_SPC[[#This Row],[gen_other_re]]/Data_SPC[[#This Row],[gen_total]]*100</f>
        <v>0</v>
      </c>
      <c r="CG7" s="44">
        <f>Data_SPC[[#This Row],[gen_other]]/Data_SPC[[#This Row],[gen_total]]*100</f>
        <v>0</v>
      </c>
    </row>
    <row r="8" spans="1:96" s="42" customFormat="1" ht="25.4" customHeight="1" x14ac:dyDescent="0.25">
      <c r="A8" s="42" t="s">
        <v>316</v>
      </c>
      <c r="B8" s="42" t="s">
        <v>331</v>
      </c>
      <c r="C8" s="42" t="s">
        <v>46</v>
      </c>
      <c r="D8" s="23">
        <v>2023</v>
      </c>
      <c r="E8" s="23" t="b">
        <v>0</v>
      </c>
      <c r="F8" s="23" t="b">
        <v>1</v>
      </c>
      <c r="G8" s="23" t="b">
        <v>0</v>
      </c>
      <c r="H8" s="23" t="b">
        <v>0</v>
      </c>
      <c r="I8" s="43">
        <v>87991</v>
      </c>
      <c r="J8" s="24">
        <v>7.1050000000000004</v>
      </c>
      <c r="K8" s="24">
        <v>868643.41550096998</v>
      </c>
      <c r="L8" s="24">
        <f>Data_SPC[[#This Row],[asset_local]]/Data_SPC[[#This Row],[exchange_rate_usd]]</f>
        <v>122258.0458129444</v>
      </c>
      <c r="M8" s="24">
        <f>(Data_SPC[[#This Row],[asset_local]]+K7)/2</f>
        <v>859386.541318645</v>
      </c>
      <c r="N8" s="24">
        <f>Data_SPC[[#This Row],[avg_asset_local]]/Data_SPC[[#This Row],[exchange_rate_usd]]</f>
        <v>120955.17822922519</v>
      </c>
      <c r="O8" s="24">
        <v>612612.74773708999</v>
      </c>
      <c r="P8" s="24">
        <f>Data_SPC[[#This Row],[liability_local]]/Data_SPC[[#This Row],[exchange_rate_usd]]</f>
        <v>86222.765339491903</v>
      </c>
      <c r="Q8" s="24">
        <v>256030.66776387999</v>
      </c>
      <c r="R8" s="24">
        <f>Data_SPC[[#This Row],[equity_local]]/Data_SPC[[#This Row],[exchange_rate_usd]]</f>
        <v>36035.280473452498</v>
      </c>
      <c r="S8" s="24">
        <f>(Data_SPC[[#This Row],[equity_local]]+Q7)/2</f>
        <v>245437.61809324499</v>
      </c>
      <c r="T8" s="24">
        <f>Data_SPC[[#This Row],[avg_equity_local]]/Data_SPC[[#This Row],[exchange_rate_usd]]</f>
        <v>34544.351596515829</v>
      </c>
      <c r="U8" s="24">
        <v>256738.16596891001</v>
      </c>
      <c r="V8" s="24">
        <f>Data_SPC[[#This Row],[revenue_local]]/Data_SPC[[#This Row],[exchange_rate_usd]]</f>
        <v>36134.857982957074</v>
      </c>
      <c r="W8" s="24">
        <f>14783.2233854+14167.80280202</f>
        <v>28951.02618742</v>
      </c>
      <c r="X8" s="24">
        <f>Data_SPC[[#This Row],[ebit_local]]/Data_SPC[[#This Row],[exchange_rate_usd]]</f>
        <v>4074.7397871104854</v>
      </c>
      <c r="Y8" s="24">
        <v>9024.7859290600009</v>
      </c>
      <c r="Z8" s="24">
        <f>Data_SPC[[#This Row],[net_profit_local]]/Data_SPC[[#This Row],[exchange_rate_usd]]</f>
        <v>1270.2021012047853</v>
      </c>
      <c r="AA8" s="24">
        <v>9273.6950269400004</v>
      </c>
      <c r="AB8" s="24">
        <f>Data_SPC[[#This Row],[ci_local]]/Data_SPC[[#This Row],[exchange_rate_usd]]</f>
        <v>1305.2350495341309</v>
      </c>
      <c r="AC8" s="24">
        <f>Data_SPC[[#This Row],[liability_local]]/Data_SPC[[#This Row],[asset_local]]*100</f>
        <v>70.525227821335619</v>
      </c>
      <c r="AD8" s="24">
        <f>Data_SPC[[#This Row],[ebit_local]]/Data_SPC[[#This Row],[revenue_local]]*100</f>
        <v>11.276479318203846</v>
      </c>
      <c r="AE8" s="24">
        <f>Data_SPC[[#This Row],[net_profit_local]]/Data_SPC[[#This Row],[avg_equity_local]]*100</f>
        <v>3.6770182171631758</v>
      </c>
      <c r="AF8" s="24">
        <f>Data_SPC[[#This Row],[net_profit_local]]/Data_SPC[[#This Row],[avg_asset_local]]*100</f>
        <v>1.0501428047979835</v>
      </c>
      <c r="AG8" s="24"/>
      <c r="AH8" s="24">
        <v>180.7422</v>
      </c>
      <c r="AI8" s="24">
        <f>SUM(Data_SPC[[#This Row],[ic_oil]:[ic_coal]])</f>
        <v>106.72172257999999</v>
      </c>
      <c r="AJ8" s="24"/>
      <c r="AK8" s="24">
        <f>Data_SPC[[#This Row],[ic_total]]*(1-25.61%)-Data_SPC[[#This Row],[ic_h2o]]-Data_SPC[[#This Row],[ic_coal]]</f>
        <v>9.5547158600000017</v>
      </c>
      <c r="AL8" s="24">
        <f>Data_SPC[[#This Row],[ic_total]]*(1-46.24%)</f>
        <v>97.167006719999989</v>
      </c>
      <c r="AM8" s="24">
        <v>0</v>
      </c>
      <c r="AN8" s="24">
        <f>SUM(Data_SPC[[#This Row],[ic_h2o]:[ic_other_re]])</f>
        <v>74.016199999999998</v>
      </c>
      <c r="AO8" s="24">
        <v>27.732399999999998</v>
      </c>
      <c r="AP8" s="24">
        <v>30.743500000000001</v>
      </c>
      <c r="AQ8" s="24">
        <v>15.5403</v>
      </c>
      <c r="AR8" s="24"/>
      <c r="AS8" s="24"/>
      <c r="AT8" s="44">
        <f>Data_SPC[[#This Row],[ic_total]]/Data_country!AC5*100</f>
        <v>6.4923632863013312</v>
      </c>
      <c r="AU8" s="44">
        <f>Data_SPC[[#This Row],[ic_fossil]]/Data_country!AD5*100</f>
        <v>8.2972503036004444</v>
      </c>
      <c r="AV8" s="44">
        <f>Data_SPC[[#This Row],[ic_fossil]]/Data_SPC[[#This Row],[ic_total]]*100</f>
        <v>59.04637797924336</v>
      </c>
      <c r="AW8" s="44">
        <f>Data_SPC[[#This Row],[ic_oil]]/Data_SPC[[#This Row],[ic_total]]*100</f>
        <v>0</v>
      </c>
      <c r="AX8" s="44">
        <f>Data_SPC[[#This Row],[ic_gas]]/Data_SPC[[#This Row],[ic_total]]*100</f>
        <v>5.2863779792433654</v>
      </c>
      <c r="AY8" s="44">
        <f>Data_SPC[[#This Row],[ic_coal]]/Data_SPC[[#This Row],[ic_total]]*100</f>
        <v>53.76</v>
      </c>
      <c r="AZ8" s="44">
        <f>Data_SPC[[#This Row],[ic_nuc]]/Data_SPC[[#This Row],[ic_total]]*100</f>
        <v>0</v>
      </c>
      <c r="BA8" s="44">
        <f>Data_SPC[[#This Row],[ic_re]]/Data_country!AI5*100</f>
        <v>5.1372312219769842</v>
      </c>
      <c r="BB8" s="44">
        <f>Data_SPC[[#This Row],[ic_re]]/Data_SPC[[#This Row],[ic_total]]*100</f>
        <v>40.951255434536037</v>
      </c>
      <c r="BC8" s="44">
        <f>Data_SPC[[#This Row],[ic_h2o]]/Data_SPC[[#This Row],[ic_total]]*100</f>
        <v>15.343622020756634</v>
      </c>
      <c r="BD8" s="44">
        <f>Data_SPC[[#This Row],[ic_wind]]/Data_SPC[[#This Row],[ic_total]]*100</f>
        <v>17.009586029161976</v>
      </c>
      <c r="BE8" s="44">
        <f>Data_SPC[[#This Row],[ic_solar]]/Data_SPC[[#This Row],[ic_total]]*100</f>
        <v>8.598047384617427</v>
      </c>
      <c r="BF8" s="44"/>
      <c r="BG8" s="44"/>
      <c r="BH8" s="24">
        <v>596.71799999999996</v>
      </c>
      <c r="BI8" s="24">
        <f>Data_SPC[[#This Row],[gen_total]]-Data_SPC[[#This Row],[gen_re]]</f>
        <v>441.08899999999994</v>
      </c>
      <c r="BJ8" s="24"/>
      <c r="BK8" s="24"/>
      <c r="BL8" s="24"/>
      <c r="BM8" s="24">
        <v>0</v>
      </c>
      <c r="BN8" s="24">
        <f>SUM(Data_SPC[[#This Row],[gen_h2o]:[gen_other]])</f>
        <v>155.62900000000002</v>
      </c>
      <c r="BO8" s="24">
        <v>79.361000000000004</v>
      </c>
      <c r="BP8" s="24">
        <v>62.902000000000001</v>
      </c>
      <c r="BQ8" s="24">
        <v>13.366</v>
      </c>
      <c r="BR8" s="24"/>
      <c r="BS8" s="24"/>
      <c r="BT8" s="44">
        <f>Data_SPC[[#This Row],[gen_total]]/Data_country!AZ5*100</f>
        <v>6.3101692495598227</v>
      </c>
      <c r="BU8" s="44">
        <f>Data_SPC[[#This Row],[gen_fossil]]/Data_country!BA5*100</f>
        <v>7.1984209100493173</v>
      </c>
      <c r="BV8" s="44">
        <f>Data_SPC[[#This Row],[gen_fossil]]/Data_SPC[[#This Row],[gen_total]]*100</f>
        <v>73.919171199796224</v>
      </c>
      <c r="BW8" s="44"/>
      <c r="BX8" s="44"/>
      <c r="BY8" s="44"/>
      <c r="BZ8" s="44">
        <f>Data_SPC[[#This Row],[gen_nuc]]/Data_SPC[[#This Row],[gen_total]]*100</f>
        <v>0</v>
      </c>
      <c r="CA8" s="44">
        <f>Data_SPC[[#This Row],[gen_re]]/Data_country!BF5*100</f>
        <v>5.3773646839313791</v>
      </c>
      <c r="CB8" s="44">
        <f>Data_SPC[[#This Row],[gen_re]]/Data_SPC[[#This Row],[gen_total]]*100</f>
        <v>26.080828800203786</v>
      </c>
      <c r="CC8" s="44">
        <f>Data_SPC[[#This Row],[gen_h2o]]/Data_SPC[[#This Row],[gen_total]]*100</f>
        <v>13.299582047131143</v>
      </c>
      <c r="CD8" s="44">
        <f>Data_SPC[[#This Row],[gen_wind]]/Data_SPC[[#This Row],[gen_total]]*100</f>
        <v>10.541327729346191</v>
      </c>
      <c r="CE8" s="44">
        <f>Data_SPC[[#This Row],[gen_solar]]/Data_SPC[[#This Row],[gen_total]]*100</f>
        <v>2.2399190237264506</v>
      </c>
      <c r="CF8" s="44">
        <f>Data_SPC[[#This Row],[gen_other_re]]/Data_SPC[[#This Row],[gen_total]]*100</f>
        <v>0</v>
      </c>
      <c r="CG8" s="44">
        <f>Data_SPC[[#This Row],[gen_other]]/Data_SPC[[#This Row],[gen_total]]*100</f>
        <v>0</v>
      </c>
    </row>
    <row r="9" spans="1:96" s="42" customFormat="1" ht="25.4" customHeight="1" x14ac:dyDescent="0.25">
      <c r="A9" s="42" t="s">
        <v>316</v>
      </c>
      <c r="B9" s="42" t="s">
        <v>332</v>
      </c>
      <c r="C9" s="42" t="s">
        <v>45</v>
      </c>
      <c r="D9" s="23">
        <v>2021</v>
      </c>
      <c r="E9" s="23" t="b">
        <v>0</v>
      </c>
      <c r="F9" s="23" t="b">
        <v>1</v>
      </c>
      <c r="G9" s="23" t="b">
        <v>0</v>
      </c>
      <c r="H9" s="23" t="b">
        <v>0</v>
      </c>
      <c r="I9" s="43">
        <v>92217</v>
      </c>
      <c r="J9" s="24">
        <v>6.3520000000000003</v>
      </c>
      <c r="K9" s="24">
        <v>940624.76764351001</v>
      </c>
      <c r="L9" s="24">
        <f>Data_SPC[[#This Row],[asset_local]]/Data_SPC[[#This Row],[exchange_rate_usd]]</f>
        <v>148083.2442763712</v>
      </c>
      <c r="M9" s="24">
        <f>(Data_SPC[[#This Row],[asset_local]]+861302.16890191)/2</f>
        <v>900963.46827270999</v>
      </c>
      <c r="N9" s="24">
        <f>Data_SPC[[#This Row],[avg_asset_local]]/Data_SPC[[#This Row],[exchange_rate_usd]]</f>
        <v>141839.33694469614</v>
      </c>
      <c r="O9" s="24">
        <v>663213.36356329999</v>
      </c>
      <c r="P9" s="24">
        <f>Data_SPC[[#This Row],[liability_local]]/Data_SPC[[#This Row],[exchange_rate_usd]]</f>
        <v>104410.16428893262</v>
      </c>
      <c r="Q9" s="24">
        <v>277411.40408021002</v>
      </c>
      <c r="R9" s="24">
        <f>Data_SPC[[#This Row],[equity_local]]/Data_SPC[[#This Row],[exchange_rate_usd]]</f>
        <v>43673.079987438607</v>
      </c>
      <c r="S9" s="24">
        <f>(Data_SPC[[#This Row],[equity_local]]+263666.32767452)/2</f>
        <v>270538.86587736499</v>
      </c>
      <c r="T9" s="24">
        <f>Data_SPC[[#This Row],[avg_equity_local]]/Data_SPC[[#This Row],[exchange_rate_usd]]</f>
        <v>42591.131277922701</v>
      </c>
      <c r="U9" s="24">
        <v>276430.99797363998</v>
      </c>
      <c r="V9" s="24">
        <f>Data_SPC[[#This Row],[revenue_local]]/Data_SPC[[#This Row],[exchange_rate_usd]]</f>
        <v>43518.733937915611</v>
      </c>
      <c r="W9" s="24">
        <f>7293.44241865+17632.34531529</f>
        <v>24925.78773394</v>
      </c>
      <c r="X9" s="24">
        <f>Data_SPC[[#This Row],[ebit_local]]/Data_SPC[[#This Row],[exchange_rate_usd]]</f>
        <v>3924.084970708438</v>
      </c>
      <c r="Y9" s="24">
        <v>3630.18117867</v>
      </c>
      <c r="Z9" s="24">
        <f>Data_SPC[[#This Row],[net_profit_local]]/Data_SPC[[#This Row],[exchange_rate_usd]]</f>
        <v>571.50207472764475</v>
      </c>
      <c r="AA9" s="24">
        <v>3379.6224086799998</v>
      </c>
      <c r="AB9" s="24">
        <f>Data_SPC[[#This Row],[ci_local]]/Data_SPC[[#This Row],[exchange_rate_usd]]</f>
        <v>532.05642454030226</v>
      </c>
      <c r="AC9" s="24">
        <f>Data_SPC[[#This Row],[liability_local]]/Data_SPC[[#This Row],[asset_local]]*100</f>
        <v>70.507750420479368</v>
      </c>
      <c r="AD9" s="24">
        <f>Data_SPC[[#This Row],[ebit_local]]/Data_SPC[[#This Row],[revenue_local]]*100</f>
        <v>9.0170016809463895</v>
      </c>
      <c r="AE9" s="24">
        <f>Data_SPC[[#This Row],[net_profit_local]]/Data_SPC[[#This Row],[avg_equity_local]]*100</f>
        <v>1.3418335169319286</v>
      </c>
      <c r="AF9" s="24">
        <f>Data_SPC[[#This Row],[net_profit_local]]/Data_SPC[[#This Row],[avg_asset_local]]*100</f>
        <v>0.40292212797813365</v>
      </c>
      <c r="AG9" s="24" t="s">
        <v>213</v>
      </c>
      <c r="AH9" s="24">
        <v>178.71</v>
      </c>
      <c r="AI9" s="24">
        <f>SUM(Data_SPC[[#This Row],[ic_oil]:[ic_coal]])</f>
        <v>115.20888000000002</v>
      </c>
      <c r="AJ9" s="24"/>
      <c r="AK9" s="24">
        <v>20.85</v>
      </c>
      <c r="AL9" s="24">
        <f>Data_SPC[[#This Row],[ic_total]]*(1-47.2%)</f>
        <v>94.358880000000013</v>
      </c>
      <c r="AM9" s="24">
        <v>0</v>
      </c>
      <c r="AN9" s="24">
        <f>SUM(Data_SPC[[#This Row],[ic_h2o]:[ic_other_re]])</f>
        <v>58.230000000000004</v>
      </c>
      <c r="AO9" s="24">
        <v>28.79</v>
      </c>
      <c r="AP9" s="24">
        <v>21.55</v>
      </c>
      <c r="AQ9" s="24">
        <v>7.89</v>
      </c>
      <c r="AR9" s="24"/>
      <c r="AS9" s="24">
        <v>5.27</v>
      </c>
      <c r="AT9" s="44">
        <f>Data_SPC[[#This Row],[ic_total]]/Data_country!AC3*100</f>
        <v>7.9312456728976954</v>
      </c>
      <c r="AU9" s="44">
        <f>Data_SPC[[#This Row],[ic_fossil]]/Data_country!AD3*100</f>
        <v>9.658611178645387</v>
      </c>
      <c r="AV9" s="44">
        <f>Data_SPC[[#This Row],[ic_fossil]]/Data_SPC[[#This Row],[ic_total]]*100</f>
        <v>64.466946449555152</v>
      </c>
      <c r="AW9" s="44">
        <f>Data_SPC[[#This Row],[ic_oil]]/Data_SPC[[#This Row],[ic_total]]*100</f>
        <v>0</v>
      </c>
      <c r="AX9" s="44">
        <f>Data_SPC[[#This Row],[ic_gas]]/Data_SPC[[#This Row],[ic_total]]*100</f>
        <v>11.666946449555146</v>
      </c>
      <c r="AY9" s="44">
        <f>Data_SPC[[#This Row],[ic_coal]]/Data_SPC[[#This Row],[ic_total]]*100</f>
        <v>52.800000000000004</v>
      </c>
      <c r="AZ9" s="44">
        <f>Data_SPC[[#This Row],[ic_nuc]]/Data_SPC[[#This Row],[ic_total]]*100</f>
        <v>0</v>
      </c>
      <c r="BA9" s="44">
        <f>Data_SPC[[#This Row],[ic_re]]/Data_country!AI3*100</f>
        <v>5.7815463129362481</v>
      </c>
      <c r="BB9" s="44">
        <f>Data_SPC[[#This Row],[ic_re]]/Data_SPC[[#This Row],[ic_total]]*100</f>
        <v>32.583515192210847</v>
      </c>
      <c r="BC9" s="44">
        <f>Data_SPC[[#This Row],[ic_h2o]]/Data_SPC[[#This Row],[ic_total]]*100</f>
        <v>16.109898718594369</v>
      </c>
      <c r="BD9" s="44">
        <f>Data_SPC[[#This Row],[ic_wind]]/Data_SPC[[#This Row],[ic_total]]*100</f>
        <v>12.058642493425102</v>
      </c>
      <c r="BE9" s="44">
        <f>Data_SPC[[#This Row],[ic_solar]]/Data_SPC[[#This Row],[ic_total]]*100</f>
        <v>4.4149739801913706</v>
      </c>
      <c r="BF9" s="44">
        <f>Data_SPC[[#This Row],[ic_other_re]]/Data_SPC[[#This Row],[ic_total]]*100</f>
        <v>0</v>
      </c>
      <c r="BG9" s="44">
        <f>Data_SPC[[#This Row],[ic_other]]/Data_SPC[[#This Row],[ic_total]]*100</f>
        <v>2.9489116445638182</v>
      </c>
      <c r="BH9" s="24">
        <v>640.4</v>
      </c>
      <c r="BI9" s="24">
        <f>SUM(Data_SPC[[#This Row],[gen_oil]:[gen_coal]])</f>
        <v>495.56</v>
      </c>
      <c r="BJ9" s="24">
        <v>0</v>
      </c>
      <c r="BK9" s="24">
        <v>49.08</v>
      </c>
      <c r="BL9" s="24">
        <v>446.48</v>
      </c>
      <c r="BM9" s="24">
        <v>0</v>
      </c>
      <c r="BN9" s="24">
        <f>SUM(Data_SPC[[#This Row],[gen_h2o]:[gen_other]])</f>
        <v>144.84300000000002</v>
      </c>
      <c r="BO9" s="24">
        <v>97.3</v>
      </c>
      <c r="BP9" s="24">
        <v>41</v>
      </c>
      <c r="BQ9" s="24">
        <v>6.5430000000000001</v>
      </c>
      <c r="BR9" s="24"/>
      <c r="BS9" s="24"/>
      <c r="BT9" s="44">
        <f>Data_SPC[[#This Row],[gen_total]]/Data_country!AZ3*100</f>
        <v>7.5038726263319839</v>
      </c>
      <c r="BU9" s="44">
        <f>Data_SPC[[#This Row],[gen_fossil]]/Data_country!BA3*100</f>
        <v>8.7276749154196089</v>
      </c>
      <c r="BV9" s="44">
        <f>Data_SPC[[#This Row],[gen_fossil]]/Data_SPC[[#This Row],[gen_total]]*100</f>
        <v>77.382885696439729</v>
      </c>
      <c r="BW9" s="44">
        <f>Data_SPC[[#This Row],[gen_oil]]/Data_SPC[[#This Row],[gen_total]]*100</f>
        <v>0</v>
      </c>
      <c r="BX9" s="44">
        <f>Data_SPC[[#This Row],[gen_gas]]/Data_SPC[[#This Row],[gen_total]]*100</f>
        <v>7.6639600249843838</v>
      </c>
      <c r="BY9" s="44">
        <f>Data_SPC[[#This Row],[gen_coal]]/Data_SPC[[#This Row],[gen_total]]*100</f>
        <v>69.718925671455338</v>
      </c>
      <c r="BZ9" s="44">
        <f>Data_SPC[[#This Row],[gen_nuc]]/Data_SPC[[#This Row],[gen_total]]*100</f>
        <v>0</v>
      </c>
      <c r="CA9" s="44">
        <f>Data_SPC[[#This Row],[gen_re]]/Data_country!BF3*100</f>
        <v>5.9150253396658687</v>
      </c>
      <c r="CB9" s="44">
        <f>Data_SPC[[#This Row],[gen_re]]/Data_SPC[[#This Row],[gen_total]]*100</f>
        <v>22.617582760774518</v>
      </c>
      <c r="CC9" s="44">
        <f>Data_SPC[[#This Row],[gen_h2o]]/Data_SPC[[#This Row],[gen_total]]*100</f>
        <v>15.19362898188632</v>
      </c>
      <c r="CD9" s="44">
        <f>Data_SPC[[#This Row],[gen_wind]]/Data_SPC[[#This Row],[gen_total]]*100</f>
        <v>6.4022485946283574</v>
      </c>
      <c r="CE9" s="44">
        <f>Data_SPC[[#This Row],[gen_solar]]/Data_SPC[[#This Row],[gen_total]]*100</f>
        <v>1.0217051842598377</v>
      </c>
      <c r="CF9" s="44"/>
      <c r="CG9" s="44"/>
    </row>
    <row r="10" spans="1:96" s="42" customFormat="1" ht="25.25" customHeight="1" x14ac:dyDescent="0.25">
      <c r="A10" s="42" t="s">
        <v>316</v>
      </c>
      <c r="B10" s="42" t="s">
        <v>332</v>
      </c>
      <c r="C10" s="42" t="s">
        <v>45</v>
      </c>
      <c r="D10" s="23">
        <v>2022</v>
      </c>
      <c r="E10" s="23" t="b">
        <v>0</v>
      </c>
      <c r="F10" s="23" t="b">
        <v>1</v>
      </c>
      <c r="G10" s="23" t="b">
        <v>0</v>
      </c>
      <c r="H10" s="23" t="b">
        <v>0</v>
      </c>
      <c r="I10" s="43">
        <v>92857</v>
      </c>
      <c r="J10" s="24">
        <v>6.899</v>
      </c>
      <c r="K10" s="24">
        <v>1010896.80901163</v>
      </c>
      <c r="L10" s="24">
        <f>Data_SPC[[#This Row],[asset_local]]/Data_SPC[[#This Row],[exchange_rate_usd]]</f>
        <v>146528.01985963617</v>
      </c>
      <c r="M10" s="24">
        <f>(Data_SPC[[#This Row],[asset_local]]+K9)/2</f>
        <v>975760.78832757007</v>
      </c>
      <c r="N10" s="24">
        <f>Data_SPC[[#This Row],[avg_asset_local]]/Data_SPC[[#This Row],[exchange_rate_usd]]</f>
        <v>141435.10484527759</v>
      </c>
      <c r="O10" s="24">
        <v>720658.51574862003</v>
      </c>
      <c r="P10" s="24">
        <f>Data_SPC[[#This Row],[liability_local]]/Data_SPC[[#This Row],[exchange_rate_usd]]</f>
        <v>104458.40205082187</v>
      </c>
      <c r="Q10" s="24">
        <v>290238.29336310999</v>
      </c>
      <c r="R10" s="24">
        <f>Data_SPC[[#This Row],[equity_local]]/Data_SPC[[#This Row],[exchange_rate_usd]]</f>
        <v>42069.617823323671</v>
      </c>
      <c r="S10" s="24">
        <f>(Data_SPC[[#This Row],[equity_local]]+Q9)/2</f>
        <v>283824.84872165998</v>
      </c>
      <c r="T10" s="24">
        <f>Data_SPC[[#This Row],[avg_equity_local]]/Data_SPC[[#This Row],[exchange_rate_usd]]</f>
        <v>41139.998365221043</v>
      </c>
      <c r="U10" s="24">
        <v>303467.38268178003</v>
      </c>
      <c r="V10" s="24">
        <f>Data_SPC[[#This Row],[revenue_local]]/Data_SPC[[#This Row],[exchange_rate_usd]]</f>
        <v>43987.155048815774</v>
      </c>
      <c r="W10" s="24">
        <f>20037.83867644+16592.88584776</f>
        <v>36630.724524199999</v>
      </c>
      <c r="X10" s="24">
        <f>Data_SPC[[#This Row],[ebit_local]]/Data_SPC[[#This Row],[exchange_rate_usd]]</f>
        <v>5309.5701586026962</v>
      </c>
      <c r="Y10" s="24">
        <v>13963.767519180001</v>
      </c>
      <c r="Z10" s="24">
        <f>Data_SPC[[#This Row],[net_profit_local]]/Data_SPC[[#This Row],[exchange_rate_usd]]</f>
        <v>2024.0277604261489</v>
      </c>
      <c r="AA10" s="24">
        <v>15215.692921219999</v>
      </c>
      <c r="AB10" s="24">
        <f>Data_SPC[[#This Row],[ci_local]]/Data_SPC[[#This Row],[exchange_rate_usd]]</f>
        <v>2205.4925237309753</v>
      </c>
      <c r="AC10" s="24">
        <f>Data_SPC[[#This Row],[liability_local]]/Data_SPC[[#This Row],[asset_local]]*100</f>
        <v>71.289028645091818</v>
      </c>
      <c r="AD10" s="24">
        <f>Data_SPC[[#This Row],[ebit_local]]/Data_SPC[[#This Row],[revenue_local]]*100</f>
        <v>12.070728722306038</v>
      </c>
      <c r="AE10" s="24">
        <f>Data_SPC[[#This Row],[net_profit_local]]/Data_SPC[[#This Row],[avg_equity_local]]*100</f>
        <v>4.9198537697007358</v>
      </c>
      <c r="AF10" s="24">
        <f>Data_SPC[[#This Row],[net_profit_local]]/Data_SPC[[#This Row],[avg_asset_local]]*100</f>
        <v>1.4310646304114714</v>
      </c>
      <c r="AG10" s="24" t="s">
        <v>213</v>
      </c>
      <c r="AH10" s="24">
        <v>191</v>
      </c>
      <c r="AI10" s="24">
        <f>SUM(Data_SPC[[#This Row],[ic_oil]:[ic_coal]])</f>
        <v>121.6972</v>
      </c>
      <c r="AJ10" s="24"/>
      <c r="AK10" s="24">
        <v>20.8492</v>
      </c>
      <c r="AL10" s="24">
        <f>Data_SPC[[#This Row],[ic_total]]*(1-47.2%)</f>
        <v>100.848</v>
      </c>
      <c r="AM10" s="24">
        <v>0</v>
      </c>
      <c r="AN10" s="24">
        <f>SUM(Data_SPC[[#This Row],[ic_h2o]:[ic_other_re]])</f>
        <v>68.415899999999993</v>
      </c>
      <c r="AO10" s="24">
        <v>30.8614</v>
      </c>
      <c r="AP10" s="24">
        <v>23.252199999999998</v>
      </c>
      <c r="AQ10" s="24">
        <v>14.302300000000001</v>
      </c>
      <c r="AR10" s="24"/>
      <c r="AS10" s="24">
        <v>0.89</v>
      </c>
      <c r="AT10" s="44">
        <f>Data_SPC[[#This Row],[ic_total]]/Data_country!AC4*100</f>
        <v>7.8628650468890227</v>
      </c>
      <c r="AU10" s="44">
        <f>Data_SPC[[#This Row],[ic_fossil]]/Data_country!AD4*100</f>
        <v>9.8985074626865668</v>
      </c>
      <c r="AV10" s="44">
        <f>Data_SPC[[#This Row],[ic_fossil]]/Data_SPC[[#This Row],[ic_total]]*100</f>
        <v>63.715811518324607</v>
      </c>
      <c r="AW10" s="44">
        <f>Data_SPC[[#This Row],[ic_oil]]/Data_SPC[[#This Row],[ic_total]]*100</f>
        <v>0</v>
      </c>
      <c r="AX10" s="44">
        <f>Data_SPC[[#This Row],[ic_gas]]/Data_SPC[[#This Row],[ic_total]]*100</f>
        <v>10.915811518324608</v>
      </c>
      <c r="AY10" s="44">
        <f>Data_SPC[[#This Row],[ic_coal]]/Data_SPC[[#This Row],[ic_total]]*100</f>
        <v>52.800000000000004</v>
      </c>
      <c r="AZ10" s="44">
        <f>Data_SPC[[#This Row],[ic_nuc]]/Data_SPC[[#This Row],[ic_total]]*100</f>
        <v>0</v>
      </c>
      <c r="BA10" s="44">
        <f>Data_SPC[[#This Row],[ic_re]]/Data_country!AI4*100</f>
        <v>5.9795745350300651</v>
      </c>
      <c r="BB10" s="44">
        <f>Data_SPC[[#This Row],[ic_re]]/Data_SPC[[#This Row],[ic_total]]*100</f>
        <v>35.819842931937167</v>
      </c>
      <c r="BC10" s="44">
        <f>Data_SPC[[#This Row],[ic_h2o]]/Data_SPC[[#This Row],[ic_total]]*100</f>
        <v>16.157801047120419</v>
      </c>
      <c r="BD10" s="44">
        <f>Data_SPC[[#This Row],[ic_wind]]/Data_SPC[[#This Row],[ic_total]]*100</f>
        <v>12.173926701570679</v>
      </c>
      <c r="BE10" s="44">
        <f>Data_SPC[[#This Row],[ic_solar]]/Data_SPC[[#This Row],[ic_total]]*100</f>
        <v>7.4881151832460731</v>
      </c>
      <c r="BF10" s="44">
        <f>Data_SPC[[#This Row],[ic_other_re]]/Data_SPC[[#This Row],[ic_total]]*100</f>
        <v>0</v>
      </c>
      <c r="BG10" s="44">
        <f>Data_SPC[[#This Row],[ic_other]]/Data_SPC[[#This Row],[ic_total]]*100</f>
        <v>0.46596858638743455</v>
      </c>
      <c r="BH10" s="24">
        <v>642.1</v>
      </c>
      <c r="BI10" s="24">
        <f>SUM(Data_SPC[[#This Row],[gen_oil]:[gen_coal]])</f>
        <v>485.47300000000001</v>
      </c>
      <c r="BJ10" s="24">
        <v>0</v>
      </c>
      <c r="BK10" s="24">
        <v>49.563000000000002</v>
      </c>
      <c r="BL10" s="24">
        <v>435.91</v>
      </c>
      <c r="BM10" s="24">
        <v>0</v>
      </c>
      <c r="BN10" s="24">
        <f>SUM(Data_SPC[[#This Row],[gen_h2o]:[gen_other]])</f>
        <v>156.625</v>
      </c>
      <c r="BO10" s="24">
        <v>100.73099999999999</v>
      </c>
      <c r="BP10" s="24">
        <v>46.161000000000001</v>
      </c>
      <c r="BQ10" s="24">
        <v>9.7330000000000005</v>
      </c>
      <c r="BR10" s="24"/>
      <c r="BS10" s="24"/>
      <c r="BT10" s="44">
        <f>Data_SPC[[#This Row],[gen_total]]/Data_country!AZ4*100</f>
        <v>7.256424947817254</v>
      </c>
      <c r="BU10" s="44">
        <f>Data_SPC[[#This Row],[gen_fossil]]/Data_country!BA4*100</f>
        <v>8.4278532169976081</v>
      </c>
      <c r="BV10" s="44">
        <f>Data_SPC[[#This Row],[gen_fossil]]/Data_SPC[[#This Row],[gen_total]]*100</f>
        <v>75.607070549758603</v>
      </c>
      <c r="BW10" s="44">
        <f>Data_SPC[[#This Row],[gen_oil]]/Data_SPC[[#This Row],[gen_total]]*100</f>
        <v>0</v>
      </c>
      <c r="BX10" s="44">
        <f>Data_SPC[[#This Row],[gen_gas]]/Data_SPC[[#This Row],[gen_total]]*100</f>
        <v>7.7188911384519541</v>
      </c>
      <c r="BY10" s="44">
        <f>Data_SPC[[#This Row],[gen_coal]]/Data_SPC[[#This Row],[gen_total]]*100</f>
        <v>67.888179411306652</v>
      </c>
      <c r="BZ10" s="44">
        <f>Data_SPC[[#This Row],[gen_nuc]]/Data_SPC[[#This Row],[gen_total]]*100</f>
        <v>0</v>
      </c>
      <c r="CA10" s="44">
        <f>Data_SPC[[#This Row],[gen_re]]/Data_country!BF4*100</f>
        <v>5.8648088999060128</v>
      </c>
      <c r="CB10" s="44">
        <f>Data_SPC[[#This Row],[gen_re]]/Data_SPC[[#This Row],[gen_total]]*100</f>
        <v>24.392617972278462</v>
      </c>
      <c r="CC10" s="44">
        <f>Data_SPC[[#This Row],[gen_h2o]]/Data_SPC[[#This Row],[gen_total]]*100</f>
        <v>15.687743342158541</v>
      </c>
      <c r="CD10" s="44">
        <f>Data_SPC[[#This Row],[gen_wind]]/Data_SPC[[#This Row],[gen_total]]*100</f>
        <v>7.1890671235010126</v>
      </c>
      <c r="CE10" s="44">
        <f>Data_SPC[[#This Row],[gen_solar]]/Data_SPC[[#This Row],[gen_total]]*100</f>
        <v>1.5158075066189067</v>
      </c>
      <c r="CF10" s="44"/>
      <c r="CG10" s="44"/>
    </row>
    <row r="11" spans="1:96" s="42" customFormat="1" ht="25.4" customHeight="1" x14ac:dyDescent="0.25">
      <c r="A11" s="42" t="s">
        <v>316</v>
      </c>
      <c r="B11" s="42" t="s">
        <v>332</v>
      </c>
      <c r="C11" s="42" t="s">
        <v>45</v>
      </c>
      <c r="D11" s="23">
        <v>2023</v>
      </c>
      <c r="E11" s="23" t="b">
        <v>0</v>
      </c>
      <c r="F11" s="23" t="b">
        <v>1</v>
      </c>
      <c r="G11" s="23" t="b">
        <v>0</v>
      </c>
      <c r="H11" s="23" t="b">
        <v>0</v>
      </c>
      <c r="I11" s="43"/>
      <c r="J11" s="24">
        <v>7.1050000000000004</v>
      </c>
      <c r="K11" s="24">
        <v>1097752.14040465</v>
      </c>
      <c r="L11" s="24">
        <f>Data_SPC[[#This Row],[asset_local]]/Data_SPC[[#This Row],[exchange_rate_usd]]</f>
        <v>154504.17176701617</v>
      </c>
      <c r="M11" s="24">
        <f>(Data_SPC[[#This Row],[asset_local]]+K10)/2</f>
        <v>1054324.4747081399</v>
      </c>
      <c r="N11" s="24">
        <f>Data_SPC[[#This Row],[avg_asset_local]]/Data_SPC[[#This Row],[exchange_rate_usd]]</f>
        <v>148391.90354794369</v>
      </c>
      <c r="O11" s="24">
        <v>760716.24684638996</v>
      </c>
      <c r="P11" s="24">
        <f>Data_SPC[[#This Row],[liability_local]]/Data_SPC[[#This Row],[exchange_rate_usd]]</f>
        <v>107067.73354628992</v>
      </c>
      <c r="Q11" s="24">
        <v>337035.89355926</v>
      </c>
      <c r="R11" s="24">
        <f>Data_SPC[[#This Row],[equity_local]]/Data_SPC[[#This Row],[exchange_rate_usd]]</f>
        <v>47436.438220866992</v>
      </c>
      <c r="S11" s="24">
        <f>(Data_SPC[[#This Row],[equity_local]]+Q10)/2</f>
        <v>313637.093461185</v>
      </c>
      <c r="T11" s="24">
        <f>Data_SPC[[#This Row],[avg_equity_local]]/Data_SPC[[#This Row],[exchange_rate_usd]]</f>
        <v>44143.15178904785</v>
      </c>
      <c r="U11" s="24">
        <v>322346.37349799002</v>
      </c>
      <c r="V11" s="24">
        <f>Data_SPC[[#This Row],[revenue_local]]/Data_SPC[[#This Row],[exchange_rate_usd]]</f>
        <v>45368.947712595356</v>
      </c>
      <c r="W11" s="24">
        <f>33330.19243334+16344.77014557</f>
        <v>49674.962578910003</v>
      </c>
      <c r="X11" s="24">
        <f>Data_SPC[[#This Row],[ebit_local]]/Data_SPC[[#This Row],[exchange_rate_usd]]</f>
        <v>6991.5499759197746</v>
      </c>
      <c r="Y11" s="24">
        <v>25686.741834889999</v>
      </c>
      <c r="Z11" s="24">
        <f>Data_SPC[[#This Row],[net_profit_local]]/Data_SPC[[#This Row],[exchange_rate_usd]]</f>
        <v>3615.3049732427862</v>
      </c>
      <c r="AA11" s="24">
        <v>27171.375324090001</v>
      </c>
      <c r="AB11" s="24">
        <f>Data_SPC[[#This Row],[ci_local]]/Data_SPC[[#This Row],[exchange_rate_usd]]</f>
        <v>3824.2611293581981</v>
      </c>
      <c r="AC11" s="24">
        <f>Data_SPC[[#This Row],[liability_local]]/Data_SPC[[#This Row],[asset_local]]*100</f>
        <v>69.297632757607474</v>
      </c>
      <c r="AD11" s="24">
        <f>Data_SPC[[#This Row],[ebit_local]]/Data_SPC[[#This Row],[revenue_local]]*100</f>
        <v>15.410430103448874</v>
      </c>
      <c r="AE11" s="24">
        <f>Data_SPC[[#This Row],[net_profit_local]]/Data_SPC[[#This Row],[avg_equity_local]]*100</f>
        <v>8.1899565996548596</v>
      </c>
      <c r="AF11" s="24">
        <f>Data_SPC[[#This Row],[net_profit_local]]/Data_SPC[[#This Row],[avg_asset_local]]*100</f>
        <v>2.4363222566753611</v>
      </c>
      <c r="AG11" s="24" t="s">
        <v>213</v>
      </c>
      <c r="AH11" s="24">
        <v>214.31</v>
      </c>
      <c r="AI11" s="24">
        <v>127.09</v>
      </c>
      <c r="AJ11" s="24"/>
      <c r="AK11" s="24"/>
      <c r="AL11" s="24"/>
      <c r="AM11" s="24">
        <v>0</v>
      </c>
      <c r="AN11" s="24"/>
      <c r="AO11" s="24">
        <v>30.93</v>
      </c>
      <c r="AP11" s="24"/>
      <c r="AQ11" s="24"/>
      <c r="AR11" s="24"/>
      <c r="AS11" s="24">
        <v>56.3</v>
      </c>
      <c r="AT11" s="44">
        <f>Data_SPC[[#This Row],[ic_total]]/Data_country!AC5*100</f>
        <v>7.6981378775252161</v>
      </c>
      <c r="AU11" s="44">
        <f>Data_SPC[[#This Row],[ic_fossil]]/Data_country!AD5*100</f>
        <v>9.8808144733057066</v>
      </c>
      <c r="AV11" s="44">
        <f>Data_SPC[[#This Row],[ic_fossil]]/Data_SPC[[#This Row],[ic_total]]*100</f>
        <v>59.301945779478324</v>
      </c>
      <c r="AW11" s="44"/>
      <c r="AX11" s="44"/>
      <c r="AY11" s="44"/>
      <c r="AZ11" s="44"/>
      <c r="BA11" s="44"/>
      <c r="BB11" s="44"/>
      <c r="BC11" s="44">
        <f>Data_SPC[[#This Row],[ic_h2o]]/Data_SPC[[#This Row],[ic_total]]*100</f>
        <v>14.432364332042368</v>
      </c>
      <c r="BD11" s="44"/>
      <c r="BE11" s="44"/>
      <c r="BF11" s="44"/>
      <c r="BG11" s="44">
        <f>Data_SPC[[#This Row],[ic_other]]/Data_SPC[[#This Row],[ic_total]]*100</f>
        <v>26.270356026317014</v>
      </c>
      <c r="BH11" s="24">
        <v>682.7</v>
      </c>
      <c r="BI11" s="24">
        <v>522.1</v>
      </c>
      <c r="BJ11" s="24"/>
      <c r="BK11" s="24"/>
      <c r="BL11" s="24"/>
      <c r="BM11" s="24">
        <v>0</v>
      </c>
      <c r="BN11" s="24"/>
      <c r="BO11" s="24">
        <v>89.8</v>
      </c>
      <c r="BP11" s="24"/>
      <c r="BQ11" s="24"/>
      <c r="BR11" s="24"/>
      <c r="BS11" s="24">
        <v>70.8</v>
      </c>
      <c r="BT11" s="44">
        <f>Data_SPC[[#This Row],[gen_total]]/Data_country!AZ5*100</f>
        <v>7.2194110897852788</v>
      </c>
      <c r="BU11" s="44">
        <f>Data_SPC[[#This Row],[gen_fossil]]/Data_country!BA5*100</f>
        <v>8.5204925925079724</v>
      </c>
      <c r="BV11" s="44">
        <f>Data_SPC[[#This Row],[gen_fossil]]/Data_SPC[[#This Row],[gen_total]]*100</f>
        <v>76.475758019627946</v>
      </c>
      <c r="BW11" s="44">
        <f>Data_SPC[[#This Row],[gen_oil]]/Data_SPC[[#This Row],[gen_total]]*100</f>
        <v>0</v>
      </c>
      <c r="BX11" s="44">
        <f>Data_SPC[[#This Row],[gen_gas]]/Data_SPC[[#This Row],[gen_total]]*100</f>
        <v>0</v>
      </c>
      <c r="BY11" s="44">
        <f>Data_SPC[[#This Row],[gen_coal]]/Data_SPC[[#This Row],[gen_total]]*100</f>
        <v>0</v>
      </c>
      <c r="BZ11" s="44">
        <f>Data_SPC[[#This Row],[gen_nuc]]/Data_SPC[[#This Row],[gen_total]]*100</f>
        <v>0</v>
      </c>
      <c r="CA11" s="44"/>
      <c r="CB11" s="44"/>
      <c r="CC11" s="44">
        <f>Data_SPC[[#This Row],[gen_h2o]]/Data_SPC[[#This Row],[gen_total]]*100</f>
        <v>13.153654606708656</v>
      </c>
      <c r="CD11" s="44"/>
      <c r="CE11" s="44"/>
      <c r="CF11" s="44"/>
      <c r="CG11" s="44">
        <f>Data_SPC[[#This Row],[gen_other]]/Data_SPC[[#This Row],[gen_total]]*100</f>
        <v>10.370587373663394</v>
      </c>
    </row>
    <row r="12" spans="1:96" s="42" customFormat="1" ht="25.4" customHeight="1" x14ac:dyDescent="0.25">
      <c r="A12" s="42" t="s">
        <v>316</v>
      </c>
      <c r="B12" s="42" t="s">
        <v>333</v>
      </c>
      <c r="C12" s="42" t="s">
        <v>43</v>
      </c>
      <c r="D12" s="23">
        <v>2021</v>
      </c>
      <c r="E12" s="23" t="b">
        <v>0</v>
      </c>
      <c r="F12" s="23" t="b">
        <v>1</v>
      </c>
      <c r="G12" s="23" t="b">
        <v>0</v>
      </c>
      <c r="H12" s="23" t="b">
        <v>0</v>
      </c>
      <c r="I12" s="43">
        <v>120927</v>
      </c>
      <c r="J12" s="24">
        <v>6.3520000000000003</v>
      </c>
      <c r="K12" s="24">
        <v>1340905.31832591</v>
      </c>
      <c r="L12" s="24">
        <f>Data_SPC[[#This Row],[asset_local]]/Data_SPC[[#This Row],[exchange_rate_usd]]</f>
        <v>211099.70376667348</v>
      </c>
      <c r="M12" s="24">
        <f>(Data_SPC[[#This Row],[asset_local]]+1193170.7711548)/2</f>
        <v>1267038.0447403551</v>
      </c>
      <c r="N12" s="24">
        <f>Data_SPC[[#This Row],[avg_asset_local]]/Data_SPC[[#This Row],[exchange_rate_usd]]</f>
        <v>199470.72492763776</v>
      </c>
      <c r="O12" s="24">
        <v>974712.57315672003</v>
      </c>
      <c r="P12" s="24">
        <f>Data_SPC[[#This Row],[liability_local]]/Data_SPC[[#This Row],[exchange_rate_usd]]</f>
        <v>153449.71239872795</v>
      </c>
      <c r="Q12" s="24">
        <v>366192.79779619997</v>
      </c>
      <c r="R12" s="24">
        <f>Data_SPC[[#This Row],[equity_local]]/Data_SPC[[#This Row],[exchange_rate_usd]]</f>
        <v>57649.999653054147</v>
      </c>
      <c r="S12" s="24">
        <f>(Data_SPC[[#This Row],[equity_local]]+352399.89589993)/2</f>
        <v>359296.34684806498</v>
      </c>
      <c r="T12" s="24">
        <f>Data_SPC[[#This Row],[avg_equity_local]]/Data_SPC[[#This Row],[exchange_rate_usd]]</f>
        <v>56564.286342579493</v>
      </c>
      <c r="U12" s="24">
        <v>386724.20822442998</v>
      </c>
      <c r="V12" s="24">
        <f>Data_SPC[[#This Row],[revenue_local]]/Data_SPC[[#This Row],[exchange_rate_usd]]</f>
        <v>60882.274594526127</v>
      </c>
      <c r="W12" s="24">
        <f>13162.88084536+23275.30927802</f>
        <v>36438.190123380002</v>
      </c>
      <c r="X12" s="24">
        <f>Data_SPC[[#This Row],[ebit_local]]/Data_SPC[[#This Row],[exchange_rate_usd]]</f>
        <v>5736.4908884414353</v>
      </c>
      <c r="Y12" s="24">
        <v>9996.5334823100002</v>
      </c>
      <c r="Z12" s="24">
        <f>Data_SPC[[#This Row],[net_profit_local]]/Data_SPC[[#This Row],[exchange_rate_usd]]</f>
        <v>1573.7615683737406</v>
      </c>
      <c r="AA12" s="24">
        <v>10938.29238415</v>
      </c>
      <c r="AB12" s="24">
        <f>Data_SPC[[#This Row],[ci_local]]/Data_SPC[[#This Row],[exchange_rate_usd]]</f>
        <v>1722.0233602251258</v>
      </c>
      <c r="AC12" s="24">
        <f>Data_SPC[[#This Row],[liability_local]]/Data_SPC[[#This Row],[asset_local]]*100</f>
        <v>72.690633696167794</v>
      </c>
      <c r="AD12" s="24">
        <f>Data_SPC[[#This Row],[ebit_local]]/Data_SPC[[#This Row],[revenue_local]]*100</f>
        <v>9.422267690631255</v>
      </c>
      <c r="AE12" s="24">
        <f>Data_SPC[[#This Row],[net_profit_local]]/Data_SPC[[#This Row],[avg_equity_local]]*100</f>
        <v>2.78225302595053</v>
      </c>
      <c r="AF12" s="24">
        <f>Data_SPC[[#This Row],[net_profit_local]]/Data_SPC[[#This Row],[avg_asset_local]]*100</f>
        <v>0.78896869149327853</v>
      </c>
      <c r="AG12" s="24" t="s">
        <v>213</v>
      </c>
      <c r="AH12" s="24">
        <v>205.92</v>
      </c>
      <c r="AI12" s="24">
        <v>140.06</v>
      </c>
      <c r="AJ12" s="24"/>
      <c r="AK12" s="24">
        <f>Data_SPC[[#This Row],[ic_fossil]]-Data_SPC[[#This Row],[ic_coal]]</f>
        <v>12.63000000000001</v>
      </c>
      <c r="AL12" s="24">
        <f>Data_SPC[[#This Row],[ic_total]]-78.49</f>
        <v>127.42999999999999</v>
      </c>
      <c r="AM12" s="24">
        <v>0</v>
      </c>
      <c r="AN12" s="24">
        <f>SUM(Data_SPC[[#This Row],[ic_h2o]:[ic_other_re]])</f>
        <v>65.850000000000009</v>
      </c>
      <c r="AO12" s="24">
        <v>27.56</v>
      </c>
      <c r="AP12" s="24">
        <v>29.17</v>
      </c>
      <c r="AQ12" s="24">
        <v>9.1199999999999992</v>
      </c>
      <c r="AR12" s="24">
        <v>0</v>
      </c>
      <c r="AS12" s="24">
        <v>0</v>
      </c>
      <c r="AT12" s="44">
        <f>Data_SPC[[#This Row],[ic_total]]/Data_country!AC3*100</f>
        <v>9.1388400702987695</v>
      </c>
      <c r="AU12" s="44">
        <f>Data_SPC[[#This Row],[ic_fossil]]/Data_country!AD3*100</f>
        <v>11.74202094214502</v>
      </c>
      <c r="AV12" s="44">
        <f>Data_SPC[[#This Row],[ic_fossil]]/Data_SPC[[#This Row],[ic_total]]*100</f>
        <v>68.016705516705528</v>
      </c>
      <c r="AW12" s="44">
        <f>Data_SPC[[#This Row],[ic_oil]]/Data_SPC[[#This Row],[ic_total]]*100</f>
        <v>0</v>
      </c>
      <c r="AX12" s="44">
        <f>Data_SPC[[#This Row],[ic_gas]]/Data_SPC[[#This Row],[ic_total]]*100</f>
        <v>6.133449883449889</v>
      </c>
      <c r="AY12" s="44">
        <f>Data_SPC[[#This Row],[ic_coal]]/Data_SPC[[#This Row],[ic_total]]*100</f>
        <v>61.883255633255629</v>
      </c>
      <c r="AZ12" s="44">
        <f>Data_SPC[[#This Row],[ic_nuc]]/Data_SPC[[#This Row],[ic_total]]*100</f>
        <v>0</v>
      </c>
      <c r="BA12" s="44">
        <f>Data_SPC[[#This Row],[ic_re]]/Data_country!AI3*100</f>
        <v>6.5381216676429998</v>
      </c>
      <c r="BB12" s="44">
        <f>Data_SPC[[#This Row],[ic_re]]/Data_SPC[[#This Row],[ic_total]]*100</f>
        <v>31.978438228438232</v>
      </c>
      <c r="BC12" s="44">
        <f>Data_SPC[[#This Row],[ic_h2o]]/Data_SPC[[#This Row],[ic_total]]*100</f>
        <v>13.383838383838384</v>
      </c>
      <c r="BD12" s="44">
        <f>Data_SPC[[#This Row],[ic_wind]]/Data_SPC[[#This Row],[ic_total]]*100</f>
        <v>14.165695415695417</v>
      </c>
      <c r="BE12" s="44">
        <f>Data_SPC[[#This Row],[ic_solar]]/Data_SPC[[#This Row],[ic_total]]*100</f>
        <v>4.4289044289044286</v>
      </c>
      <c r="BF12" s="44">
        <f>Data_SPC[[#This Row],[ic_other_re]]/Data_SPC[[#This Row],[ic_total]]*100</f>
        <v>0</v>
      </c>
      <c r="BG12" s="44">
        <f>Data_SPC[[#This Row],[ic_other]]/Data_SPC[[#This Row],[ic_total]]*100</f>
        <v>0</v>
      </c>
      <c r="BH12" s="24">
        <v>774.5</v>
      </c>
      <c r="BI12" s="24">
        <v>590.36</v>
      </c>
      <c r="BJ12" s="24"/>
      <c r="BK12" s="24"/>
      <c r="BL12" s="24"/>
      <c r="BM12" s="24">
        <v>0</v>
      </c>
      <c r="BN12" s="24">
        <f>SUM(Data_SPC[[#This Row],[gen_h2o]:[gen_other]])</f>
        <v>184.06400000000002</v>
      </c>
      <c r="BO12" s="24">
        <v>110.628</v>
      </c>
      <c r="BP12" s="24">
        <v>62.38</v>
      </c>
      <c r="BQ12" s="24">
        <v>11.055999999999999</v>
      </c>
      <c r="BR12" s="24"/>
      <c r="BS12" s="24"/>
      <c r="BT12" s="44">
        <f>Data_SPC[[#This Row],[gen_total]]/Data_country!AZ3*100</f>
        <v>9.0751863664805139</v>
      </c>
      <c r="BU12" s="44">
        <f>Data_SPC[[#This Row],[gen_fossil]]/Data_country!BA3*100</f>
        <v>10.39726806656534</v>
      </c>
      <c r="BV12" s="44">
        <f>Data_SPC[[#This Row],[gen_fossil]]/Data_SPC[[#This Row],[gen_total]]*100</f>
        <v>76.224661071659142</v>
      </c>
      <c r="BW12" s="44"/>
      <c r="BX12" s="44"/>
      <c r="BY12" s="44"/>
      <c r="BZ12" s="44">
        <f>Data_SPC[[#This Row],[gen_nuc]]/Data_SPC[[#This Row],[gen_total]]*100</f>
        <v>0</v>
      </c>
      <c r="CA12" s="44">
        <f>Data_SPC[[#This Row],[gen_re]]/Data_country!BF3*100</f>
        <v>7.5167127449739262</v>
      </c>
      <c r="CB12" s="44">
        <f>Data_SPC[[#This Row],[gen_re]]/Data_SPC[[#This Row],[gen_total]]*100</f>
        <v>23.765526145900584</v>
      </c>
      <c r="CC12" s="44">
        <f>Data_SPC[[#This Row],[gen_h2o]]/Data_SPC[[#This Row],[gen_total]]*100</f>
        <v>14.283795997417689</v>
      </c>
      <c r="CD12" s="44">
        <f>Data_SPC[[#This Row],[gen_wind]]/Data_SPC[[#This Row],[gen_total]]*100</f>
        <v>8.0542285345384119</v>
      </c>
      <c r="CE12" s="44">
        <f>Data_SPC[[#This Row],[gen_solar]]/Data_SPC[[#This Row],[gen_total]]*100</f>
        <v>1.4275016139444803</v>
      </c>
      <c r="CF12" s="44"/>
      <c r="CG12" s="44"/>
    </row>
    <row r="13" spans="1:96" s="42" customFormat="1" ht="25.4" customHeight="1" x14ac:dyDescent="0.25">
      <c r="A13" s="42" t="s">
        <v>316</v>
      </c>
      <c r="B13" s="42" t="s">
        <v>333</v>
      </c>
      <c r="C13" s="42" t="s">
        <v>43</v>
      </c>
      <c r="D13" s="23">
        <v>2022</v>
      </c>
      <c r="E13" s="23" t="b">
        <v>0</v>
      </c>
      <c r="F13" s="23" t="b">
        <v>1</v>
      </c>
      <c r="G13" s="23" t="b">
        <v>0</v>
      </c>
      <c r="H13" s="23" t="b">
        <v>0</v>
      </c>
      <c r="I13" s="43">
        <v>121264</v>
      </c>
      <c r="J13" s="24">
        <v>6.899</v>
      </c>
      <c r="K13" s="24">
        <v>1415299.54928363</v>
      </c>
      <c r="L13" s="24">
        <f>Data_SPC[[#This Row],[asset_local]]/Data_SPC[[#This Row],[exchange_rate_usd]]</f>
        <v>205145.60795530223</v>
      </c>
      <c r="M13" s="24">
        <f>(Data_SPC[[#This Row],[asset_local]]+K12)/2</f>
        <v>1378102.43380477</v>
      </c>
      <c r="N13" s="24">
        <f>Data_SPC[[#This Row],[avg_asset_local]]/Data_SPC[[#This Row],[exchange_rate_usd]]</f>
        <v>199753.94025290187</v>
      </c>
      <c r="O13" s="24">
        <v>1002999.61817687</v>
      </c>
      <c r="P13" s="24">
        <f>Data_SPC[[#This Row],[liability_local]]/Data_SPC[[#This Row],[exchange_rate_usd]]</f>
        <v>145383.33355223513</v>
      </c>
      <c r="Q13" s="24">
        <v>412299.93110675999</v>
      </c>
      <c r="R13" s="24">
        <f>Data_SPC[[#This Row],[equity_local]]/Data_SPC[[#This Row],[exchange_rate_usd]]</f>
        <v>59762.274403067109</v>
      </c>
      <c r="S13" s="24">
        <f>(Data_SPC[[#This Row],[equity_local]]+Q12)/2</f>
        <v>389246.36445147998</v>
      </c>
      <c r="T13" s="24">
        <f>Data_SPC[[#This Row],[avg_equity_local]]/Data_SPC[[#This Row],[exchange_rate_usd]]</f>
        <v>56420.693499272355</v>
      </c>
      <c r="U13" s="24">
        <v>424546.15970662999</v>
      </c>
      <c r="V13" s="24">
        <f>Data_SPC[[#This Row],[revenue_local]]/Data_SPC[[#This Row],[exchange_rate_usd]]</f>
        <v>61537.347399134655</v>
      </c>
      <c r="W13" s="24">
        <f>22250.90868642+24368.25228375</f>
        <v>46619.16097017</v>
      </c>
      <c r="X13" s="24">
        <f>Data_SPC[[#This Row],[ebit_local]]/Data_SPC[[#This Row],[exchange_rate_usd]]</f>
        <v>6757.3794709624581</v>
      </c>
      <c r="Y13" s="24">
        <v>16162.00475907</v>
      </c>
      <c r="Z13" s="24">
        <f>Data_SPC[[#This Row],[net_profit_local]]/Data_SPC[[#This Row],[exchange_rate_usd]]</f>
        <v>2342.6590461037831</v>
      </c>
      <c r="AA13" s="24">
        <v>14773.221611540001</v>
      </c>
      <c r="AB13" s="24">
        <f>Data_SPC[[#This Row],[ci_local]]/Data_SPC[[#This Row],[exchange_rate_usd]]</f>
        <v>2141.3569519553557</v>
      </c>
      <c r="AC13" s="24">
        <f>Data_SPC[[#This Row],[liability_local]]/Data_SPC[[#This Row],[asset_local]]*100</f>
        <v>70.868362721132058</v>
      </c>
      <c r="AD13" s="24">
        <f>Data_SPC[[#This Row],[ebit_local]]/Data_SPC[[#This Row],[revenue_local]]*100</f>
        <v>10.980940447649976</v>
      </c>
      <c r="AE13" s="24">
        <f>Data_SPC[[#This Row],[net_profit_local]]/Data_SPC[[#This Row],[avg_equity_local]]*100</f>
        <v>4.1521273504622833</v>
      </c>
      <c r="AF13" s="24">
        <f>Data_SPC[[#This Row],[net_profit_local]]/Data_SPC[[#This Row],[avg_asset_local]]*100</f>
        <v>1.1727723834322465</v>
      </c>
      <c r="AG13" s="24" t="s">
        <v>213</v>
      </c>
      <c r="AH13" s="24">
        <v>221.11</v>
      </c>
      <c r="AI13" s="24">
        <v>142.24</v>
      </c>
      <c r="AJ13" s="24"/>
      <c r="AK13" s="24">
        <f>Data_SPC[[#This Row],[ic_fossil]]-Data_SPC[[#This Row],[ic_coal]]</f>
        <v>13.159999999999997</v>
      </c>
      <c r="AL13" s="24">
        <f>Data_SPC[[#This Row],[ic_total]]-92.03</f>
        <v>129.08000000000001</v>
      </c>
      <c r="AM13" s="24">
        <v>0</v>
      </c>
      <c r="AN13" s="24">
        <f>SUM(Data_SPC[[#This Row],[ic_h2o]:[ic_other_re]])</f>
        <v>78.87</v>
      </c>
      <c r="AO13" s="24">
        <v>27.59</v>
      </c>
      <c r="AP13" s="24">
        <v>33.93</v>
      </c>
      <c r="AQ13" s="24">
        <v>17.350000000000001</v>
      </c>
      <c r="AR13" s="24">
        <v>0</v>
      </c>
      <c r="AS13" s="24">
        <v>0</v>
      </c>
      <c r="AT13" s="44">
        <f>Data_SPC[[#This Row],[ic_total]]/Data_country!AC4*100</f>
        <v>9.1023983796734651</v>
      </c>
      <c r="AU13" s="44">
        <f>Data_SPC[[#This Row],[ic_fossil]]/Data_country!AD4*100</f>
        <v>11.569400951645045</v>
      </c>
      <c r="AV13" s="44">
        <f>Data_SPC[[#This Row],[ic_fossil]]/Data_SPC[[#This Row],[ic_total]]*100</f>
        <v>64.329971507394518</v>
      </c>
      <c r="AW13" s="44">
        <f>Data_SPC[[#This Row],[ic_oil]]/Data_SPC[[#This Row],[ic_total]]*100</f>
        <v>0</v>
      </c>
      <c r="AX13" s="44">
        <f>Data_SPC[[#This Row],[ic_gas]]/Data_SPC[[#This Row],[ic_total]]*100</f>
        <v>5.9517887024557892</v>
      </c>
      <c r="AY13" s="44">
        <f>Data_SPC[[#This Row],[ic_coal]]/Data_SPC[[#This Row],[ic_total]]*100</f>
        <v>58.378182804938717</v>
      </c>
      <c r="AZ13" s="44">
        <f>Data_SPC[[#This Row],[ic_nuc]]/Data_SPC[[#This Row],[ic_total]]*100</f>
        <v>0</v>
      </c>
      <c r="BA13" s="44">
        <f>Data_SPC[[#This Row],[ic_re]]/Data_country!AI4*100</f>
        <v>6.8932666759893717</v>
      </c>
      <c r="BB13" s="44">
        <f>Data_SPC[[#This Row],[ic_re]]/Data_SPC[[#This Row],[ic_total]]*100</f>
        <v>35.670028492605489</v>
      </c>
      <c r="BC13" s="44">
        <f>Data_SPC[[#This Row],[ic_h2o]]/Data_SPC[[#This Row],[ic_total]]*100</f>
        <v>12.477952150513319</v>
      </c>
      <c r="BD13" s="44">
        <f>Data_SPC[[#This Row],[ic_wind]]/Data_SPC[[#This Row],[ic_total]]*100</f>
        <v>15.345303242729862</v>
      </c>
      <c r="BE13" s="44">
        <f>Data_SPC[[#This Row],[ic_solar]]/Data_SPC[[#This Row],[ic_total]]*100</f>
        <v>7.8467730993623084</v>
      </c>
      <c r="BF13" s="44">
        <f>Data_SPC[[#This Row],[ic_other_re]]/Data_SPC[[#This Row],[ic_total]]*100</f>
        <v>0</v>
      </c>
      <c r="BG13" s="44">
        <f>Data_SPC[[#This Row],[ic_other]]/Data_SPC[[#This Row],[ic_total]]*100</f>
        <v>0</v>
      </c>
      <c r="BH13" s="24">
        <v>791.1</v>
      </c>
      <c r="BI13" s="24">
        <v>583.4</v>
      </c>
      <c r="BJ13" s="24"/>
      <c r="BK13" s="24"/>
      <c r="BL13" s="24"/>
      <c r="BM13" s="24">
        <v>0</v>
      </c>
      <c r="BN13" s="24">
        <f>SUM(Data_SPC[[#This Row],[gen_h2o]:[gen_other]])</f>
        <v>207.70000000000002</v>
      </c>
      <c r="BO13" s="24">
        <v>115.5</v>
      </c>
      <c r="BP13" s="24">
        <v>73.900000000000006</v>
      </c>
      <c r="BQ13" s="24">
        <v>18.3</v>
      </c>
      <c r="BR13" s="24"/>
      <c r="BS13" s="24"/>
      <c r="BT13" s="44">
        <f>Data_SPC[[#This Row],[gen_total]]/Data_country!AZ4*100</f>
        <v>8.9402862112104486</v>
      </c>
      <c r="BU13" s="44">
        <f>Data_SPC[[#This Row],[gen_fossil]]/Data_country!BA4*100</f>
        <v>10.127874396302996</v>
      </c>
      <c r="BV13" s="44">
        <f>Data_SPC[[#This Row],[gen_fossil]]/Data_SPC[[#This Row],[gen_total]]*100</f>
        <v>73.745417772721524</v>
      </c>
      <c r="BW13" s="44"/>
      <c r="BX13" s="44"/>
      <c r="BY13" s="44"/>
      <c r="BZ13" s="44">
        <f>Data_SPC[[#This Row],[gen_nuc]]/Data_SPC[[#This Row],[gen_total]]*100</f>
        <v>0</v>
      </c>
      <c r="CA13" s="44">
        <f>Data_SPC[[#This Row],[gen_re]]/Data_country!BF4*100</f>
        <v>7.7773076361403293</v>
      </c>
      <c r="CB13" s="44">
        <f>Data_SPC[[#This Row],[gen_re]]/Data_SPC[[#This Row],[gen_total]]*100</f>
        <v>26.254582227278473</v>
      </c>
      <c r="CC13" s="44">
        <f>Data_SPC[[#This Row],[gen_h2o]]/Data_SPC[[#This Row],[gen_total]]*100</f>
        <v>14.599924156238147</v>
      </c>
      <c r="CD13" s="44">
        <f>Data_SPC[[#This Row],[gen_wind]]/Data_SPC[[#This Row],[gen_total]]*100</f>
        <v>9.3414233345973976</v>
      </c>
      <c r="CE13" s="44">
        <f>Data_SPC[[#This Row],[gen_solar]]/Data_SPC[[#This Row],[gen_total]]*100</f>
        <v>2.3132347364429275</v>
      </c>
      <c r="CF13" s="44"/>
      <c r="CG13" s="44"/>
    </row>
    <row r="14" spans="1:96" s="42" customFormat="1" ht="25.4" customHeight="1" x14ac:dyDescent="0.25">
      <c r="A14" s="42" t="s">
        <v>316</v>
      </c>
      <c r="B14" s="42" t="s">
        <v>333</v>
      </c>
      <c r="C14" s="42" t="s">
        <v>43</v>
      </c>
      <c r="D14" s="23">
        <v>2023</v>
      </c>
      <c r="E14" s="23" t="b">
        <v>0</v>
      </c>
      <c r="F14" s="23" t="b">
        <v>1</v>
      </c>
      <c r="G14" s="23" t="b">
        <v>0</v>
      </c>
      <c r="H14" s="23" t="b">
        <v>0</v>
      </c>
      <c r="I14" s="43"/>
      <c r="J14" s="24">
        <v>7.1050000000000004</v>
      </c>
      <c r="K14" s="24">
        <v>1560847.4185699599</v>
      </c>
      <c r="L14" s="24">
        <f>Data_SPC[[#This Row],[asset_local]]/Data_SPC[[#This Row],[exchange_rate_usd]]</f>
        <v>219682.95827867134</v>
      </c>
      <c r="M14" s="24">
        <f>(Data_SPC[[#This Row],[asset_local]]+K13)/2</f>
        <v>1488073.483926795</v>
      </c>
      <c r="N14" s="24">
        <f>Data_SPC[[#This Row],[avg_asset_local]]/Data_SPC[[#This Row],[exchange_rate_usd]]</f>
        <v>209440.32145345458</v>
      </c>
      <c r="O14" s="24">
        <v>1093899.1574452601</v>
      </c>
      <c r="P14" s="24">
        <f>Data_SPC[[#This Row],[liability_local]]/Data_SPC[[#This Row],[exchange_rate_usd]]</f>
        <v>153961.88000637016</v>
      </c>
      <c r="Q14" s="24">
        <v>466948.26112470002</v>
      </c>
      <c r="R14" s="24">
        <f>Data_SPC[[#This Row],[equity_local]]/Data_SPC[[#This Row],[exchange_rate_usd]]</f>
        <v>65721.078272301194</v>
      </c>
      <c r="S14" s="24">
        <f>(Data_SPC[[#This Row],[equity_local]]+Q13)/2</f>
        <v>439624.09611573</v>
      </c>
      <c r="T14" s="24">
        <f>Data_SPC[[#This Row],[avg_equity_local]]/Data_SPC[[#This Row],[exchange_rate_usd]]</f>
        <v>61875.31261305137</v>
      </c>
      <c r="U14" s="24">
        <v>409822.93524044001</v>
      </c>
      <c r="V14" s="24">
        <f>Data_SPC[[#This Row],[revenue_local]]/Data_SPC[[#This Row],[exchange_rate_usd]]</f>
        <v>57680.919808647428</v>
      </c>
      <c r="W14" s="24">
        <f>42252.48299484+21269.98495882</f>
        <v>63522.467953660002</v>
      </c>
      <c r="X14" s="24">
        <f>Data_SPC[[#This Row],[ebit_local]]/Data_SPC[[#This Row],[exchange_rate_usd]]</f>
        <v>8940.5303242308237</v>
      </c>
      <c r="Y14" s="24">
        <v>31192.375004400001</v>
      </c>
      <c r="Z14" s="24">
        <f>Data_SPC[[#This Row],[net_profit_local]]/Data_SPC[[#This Row],[exchange_rate_usd]]</f>
        <v>4390.2005636030963</v>
      </c>
      <c r="AA14" s="24">
        <v>33047.891441729997</v>
      </c>
      <c r="AB14" s="24">
        <f>Data_SPC[[#This Row],[ci_local]]/Data_SPC[[#This Row],[exchange_rate_usd]]</f>
        <v>4651.3569939099216</v>
      </c>
      <c r="AC14" s="24">
        <f>Data_SPC[[#This Row],[liability_local]]/Data_SPC[[#This Row],[asset_local]]*100</f>
        <v>70.083670218546075</v>
      </c>
      <c r="AD14" s="24">
        <f>Data_SPC[[#This Row],[ebit_local]]/Data_SPC[[#This Row],[revenue_local]]*100</f>
        <v>15.499978769219409</v>
      </c>
      <c r="AE14" s="24">
        <f>Data_SPC[[#This Row],[net_profit_local]]/Data_SPC[[#This Row],[avg_equity_local]]*100</f>
        <v>7.0952377906484632</v>
      </c>
      <c r="AF14" s="24">
        <f>Data_SPC[[#This Row],[net_profit_local]]/Data_SPC[[#This Row],[avg_asset_local]]*100</f>
        <v>2.0961582436163142</v>
      </c>
      <c r="AG14" s="24" t="s">
        <v>213</v>
      </c>
      <c r="AH14" s="24">
        <v>243.12</v>
      </c>
      <c r="AI14" s="24">
        <v>142.46</v>
      </c>
      <c r="AJ14" s="24"/>
      <c r="AK14" s="24"/>
      <c r="AL14" s="24"/>
      <c r="AM14" s="24">
        <v>0.02</v>
      </c>
      <c r="AN14" s="24">
        <f>SUM(Data_SPC[[#This Row],[ic_h2o]:[ic_other_re]])</f>
        <v>100.46</v>
      </c>
      <c r="AO14" s="24">
        <v>27.59</v>
      </c>
      <c r="AP14" s="24">
        <v>39.29</v>
      </c>
      <c r="AQ14" s="24">
        <v>33.58</v>
      </c>
      <c r="AR14" s="24"/>
      <c r="AS14" s="24">
        <v>0.18</v>
      </c>
      <c r="AT14" s="44">
        <f>Data_SPC[[#This Row],[ic_total]]/Data_country!AC5*100</f>
        <v>8.7330095692404957</v>
      </c>
      <c r="AU14" s="44">
        <f>Data_SPC[[#This Row],[ic_fossil]]/Data_country!AD5*100</f>
        <v>11.075779603958857</v>
      </c>
      <c r="AV14" s="44">
        <f>Data_SPC[[#This Row],[ic_fossil]]/Data_SPC[[#This Row],[ic_total]]*100</f>
        <v>58.596577821651863</v>
      </c>
      <c r="AW14" s="44"/>
      <c r="AX14" s="44"/>
      <c r="AY14" s="44"/>
      <c r="AZ14" s="44">
        <f>Data_SPC[[#This Row],[ic_nuc]]/Data_SPC[[#This Row],[ic_total]]*100</f>
        <v>8.2263902599539317E-3</v>
      </c>
      <c r="BA14" s="44">
        <f>Data_SPC[[#This Row],[ic_re]]/Data_country!AI5*100</f>
        <v>6.9726120573578205</v>
      </c>
      <c r="BB14" s="44">
        <f>Data_SPC[[#This Row],[ic_re]]/Data_SPC[[#This Row],[ic_total]]*100</f>
        <v>41.321158275748601</v>
      </c>
      <c r="BC14" s="44">
        <f>Data_SPC[[#This Row],[ic_h2o]]/Data_SPC[[#This Row],[ic_total]]*100</f>
        <v>11.34830536360645</v>
      </c>
      <c r="BD14" s="44">
        <f>Data_SPC[[#This Row],[ic_wind]]/Data_SPC[[#This Row],[ic_total]]*100</f>
        <v>16.160743665679501</v>
      </c>
      <c r="BE14" s="44">
        <f>Data_SPC[[#This Row],[ic_solar]]/Data_SPC[[#This Row],[ic_total]]*100</f>
        <v>13.812109246462651</v>
      </c>
      <c r="BF14" s="44">
        <f>Data_SPC[[#This Row],[ic_other_re]]/Data_SPC[[#This Row],[ic_total]]*100</f>
        <v>0</v>
      </c>
      <c r="BG14" s="44">
        <f>Data_SPC[[#This Row],[ic_other]]/Data_SPC[[#This Row],[ic_total]]*100</f>
        <v>7.4037512339585387E-2</v>
      </c>
      <c r="BH14" s="24">
        <v>830.6</v>
      </c>
      <c r="BI14" s="24"/>
      <c r="BJ14" s="24"/>
      <c r="BK14" s="24"/>
      <c r="BL14" s="24"/>
      <c r="BM14" s="24"/>
      <c r="BN14" s="24"/>
      <c r="BO14" s="24"/>
      <c r="BP14" s="24"/>
      <c r="BQ14" s="24"/>
      <c r="BR14" s="24"/>
      <c r="BS14" s="24"/>
      <c r="BT14" s="44">
        <f>Data_SPC[[#This Row],[gen_total]]/Data_country!AZ5*100</f>
        <v>8.7834229547028748</v>
      </c>
      <c r="BU14" s="44">
        <f>Data_SPC[[#This Row],[gen_fossil]]/Data_country!BA5*100</f>
        <v>0</v>
      </c>
      <c r="BV14" s="44">
        <f>Data_SPC[[#This Row],[gen_fossil]]/Data_SPC[[#This Row],[gen_total]]*100</f>
        <v>0</v>
      </c>
      <c r="BW14" s="44"/>
      <c r="BX14" s="44"/>
      <c r="BY14" s="44"/>
      <c r="BZ14" s="44"/>
      <c r="CA14" s="44"/>
      <c r="CB14" s="44"/>
      <c r="CC14" s="44"/>
      <c r="CD14" s="44"/>
      <c r="CE14" s="44"/>
      <c r="CF14" s="44"/>
      <c r="CG14" s="44"/>
    </row>
    <row r="15" spans="1:96" s="42" customFormat="1" ht="25.4" customHeight="1" x14ac:dyDescent="0.25">
      <c r="A15" s="42" t="s">
        <v>316</v>
      </c>
      <c r="B15" s="42" t="s">
        <v>109</v>
      </c>
      <c r="C15" s="42" t="s">
        <v>44</v>
      </c>
      <c r="D15" s="23">
        <v>2021</v>
      </c>
      <c r="E15" s="23" t="b">
        <v>0</v>
      </c>
      <c r="F15" s="23" t="b">
        <v>1</v>
      </c>
      <c r="G15" s="23" t="b">
        <v>0</v>
      </c>
      <c r="H15" s="23" t="b">
        <v>0</v>
      </c>
      <c r="I15" s="43">
        <v>119837</v>
      </c>
      <c r="J15" s="24">
        <v>6.3520000000000003</v>
      </c>
      <c r="K15" s="24">
        <v>1494299.19693367</v>
      </c>
      <c r="L15" s="24">
        <f>Data_SPC[[#This Row],[asset_local]]/Data_SPC[[#This Row],[exchange_rate_usd]]</f>
        <v>235248.6141268372</v>
      </c>
      <c r="M15" s="24">
        <f>(Data_SPC[[#This Row],[asset_local]]+1324922)/2</f>
        <v>1409610.598466835</v>
      </c>
      <c r="N15" s="24">
        <f>Data_SPC[[#This Row],[avg_asset_local]]/Data_SPC[[#This Row],[exchange_rate_usd]]</f>
        <v>221916.02620699542</v>
      </c>
      <c r="O15" s="24">
        <v>1101933.6582858299</v>
      </c>
      <c r="P15" s="24">
        <f>Data_SPC[[#This Row],[liability_local]]/Data_SPC[[#This Row],[exchange_rate_usd]]</f>
        <v>173478.22076288253</v>
      </c>
      <c r="Q15" s="24">
        <v>392365.53864783997</v>
      </c>
      <c r="R15" s="24">
        <f>Data_SPC[[#This Row],[equity_local]]/Data_SPC[[#This Row],[exchange_rate_usd]]</f>
        <v>61770.393363954652</v>
      </c>
      <c r="S15" s="24">
        <f>(Data_SPC[[#This Row],[equity_local]]+341164)/2</f>
        <v>366764.76932392002</v>
      </c>
      <c r="T15" s="24">
        <f>Data_SPC[[#This Row],[avg_equity_local]]/Data_SPC[[#This Row],[exchange_rate_usd]]</f>
        <v>57740.045548476068</v>
      </c>
      <c r="U15" s="24">
        <v>331516.23577951</v>
      </c>
      <c r="V15" s="24">
        <f>Data_SPC[[#This Row],[revenue_local]]/Data_SPC[[#This Row],[exchange_rate_usd]]</f>
        <v>52190.843164280537</v>
      </c>
      <c r="W15" s="24">
        <f>13951.21247468+29840.51662618</f>
        <v>43791.72910086</v>
      </c>
      <c r="X15" s="24">
        <f>Data_SPC[[#This Row],[ebit_local]]/Data_SPC[[#This Row],[exchange_rate_usd]]</f>
        <v>6894.1639012688911</v>
      </c>
      <c r="Y15" s="24">
        <v>6980.3367170800002</v>
      </c>
      <c r="Z15" s="24">
        <f>Data_SPC[[#This Row],[net_profit_local]]/Data_SPC[[#This Row],[exchange_rate_usd]]</f>
        <v>1098.9195083564232</v>
      </c>
      <c r="AA15" s="24">
        <v>7952.2108853399995</v>
      </c>
      <c r="AB15" s="24">
        <f>Data_SPC[[#This Row],[ci_local]]/Data_SPC[[#This Row],[exchange_rate_usd]]</f>
        <v>1251.9223685988663</v>
      </c>
      <c r="AC15" s="24">
        <f>Data_SPC[[#This Row],[liability_local]]/Data_SPC[[#This Row],[asset_local]]*100</f>
        <v>73.742504884364422</v>
      </c>
      <c r="AD15" s="24">
        <f>Data_SPC[[#This Row],[ebit_local]]/Data_SPC[[#This Row],[revenue_local]]*100</f>
        <v>13.209527731844087</v>
      </c>
      <c r="AE15" s="24">
        <f>Data_SPC[[#This Row],[net_profit_local]]/Data_SPC[[#This Row],[avg_equity_local]]*100</f>
        <v>1.9032189841863172</v>
      </c>
      <c r="AF15" s="24">
        <f>Data_SPC[[#This Row],[net_profit_local]]/Data_SPC[[#This Row],[avg_asset_local]]*100</f>
        <v>0.49519610058779168</v>
      </c>
      <c r="AG15" s="24" t="s">
        <v>213</v>
      </c>
      <c r="AH15" s="24">
        <v>195</v>
      </c>
      <c r="AI15" s="24">
        <f>SUM(Data_SPC[[#This Row],[ic_oil]:[ic_coal]])</f>
        <v>82.9</v>
      </c>
      <c r="AJ15" s="24"/>
      <c r="AK15" s="24">
        <v>7.7</v>
      </c>
      <c r="AL15" s="24">
        <v>75.2</v>
      </c>
      <c r="AM15" s="24">
        <v>8.0939999999999994</v>
      </c>
      <c r="AN15" s="24">
        <f>SUM(Data_SPC[[#This Row],[ic_h2o]:[ic_other_re]])</f>
        <v>104.44999999999999</v>
      </c>
      <c r="AO15" s="24">
        <v>24.65</v>
      </c>
      <c r="AP15" s="24">
        <v>38.229999999999997</v>
      </c>
      <c r="AQ15" s="24">
        <v>41.13</v>
      </c>
      <c r="AR15" s="24">
        <v>0.44</v>
      </c>
      <c r="AS15" s="24">
        <v>0</v>
      </c>
      <c r="AT15" s="44">
        <f>Data_SPC[[#This Row],[ic_total]]/Data_country!AC3*100</f>
        <v>8.6542046120253513</v>
      </c>
      <c r="AU15" s="44">
        <f>Data_SPC[[#This Row],[ic_fossil]]/Data_country!AD3*100</f>
        <v>6.9499752684836658</v>
      </c>
      <c r="AV15" s="44">
        <f>Data_SPC[[#This Row],[ic_fossil]]/Data_SPC[[#This Row],[ic_total]]*100</f>
        <v>42.512820512820518</v>
      </c>
      <c r="AW15" s="44">
        <f>Data_SPC[[#This Row],[ic_oil]]/Data_SPC[[#This Row],[ic_total]]*100</f>
        <v>0</v>
      </c>
      <c r="AX15" s="44">
        <f>Data_SPC[[#This Row],[ic_gas]]/Data_SPC[[#This Row],[ic_total]]*100</f>
        <v>3.9487179487179489</v>
      </c>
      <c r="AY15" s="44">
        <f>Data_SPC[[#This Row],[ic_coal]]/Data_SPC[[#This Row],[ic_total]]*100</f>
        <v>38.564102564102562</v>
      </c>
      <c r="AZ15" s="44">
        <f>Data_SPC[[#This Row],[ic_nuc]]/Data_SPC[[#This Row],[ic_total]]*100</f>
        <v>4.1507692307692308</v>
      </c>
      <c r="BA15" s="44">
        <f>Data_SPC[[#This Row],[ic_re]]/Data_country!AI3*100</f>
        <v>10.370642493322874</v>
      </c>
      <c r="BB15" s="44">
        <f>Data_SPC[[#This Row],[ic_re]]/Data_SPC[[#This Row],[ic_total]]*100</f>
        <v>53.564102564102555</v>
      </c>
      <c r="BC15" s="44">
        <f>Data_SPC[[#This Row],[ic_h2o]]/Data_SPC[[#This Row],[ic_total]]*100</f>
        <v>12.641025641025641</v>
      </c>
      <c r="BD15" s="44">
        <f>Data_SPC[[#This Row],[ic_wind]]/Data_SPC[[#This Row],[ic_total]]*100</f>
        <v>19.605128205128203</v>
      </c>
      <c r="BE15" s="44">
        <f>Data_SPC[[#This Row],[ic_solar]]/Data_SPC[[#This Row],[ic_total]]*100</f>
        <v>21.092307692307692</v>
      </c>
      <c r="BF15" s="44">
        <f>Data_SPC[[#This Row],[ic_other_re]]/Data_SPC[[#This Row],[ic_total]]*100</f>
        <v>0.22564102564102562</v>
      </c>
      <c r="BG15" s="44">
        <f>Data_SPC[[#This Row],[ic_other]]/Data_SPC[[#This Row],[ic_total]]*100</f>
        <v>0</v>
      </c>
      <c r="BH15" s="24">
        <v>642.60199999999998</v>
      </c>
      <c r="BI15" s="24">
        <v>368.6</v>
      </c>
      <c r="BJ15" s="24"/>
      <c r="BK15" s="24"/>
      <c r="BL15" s="24"/>
      <c r="BM15" s="24"/>
      <c r="BN15" s="24"/>
      <c r="BO15" s="24">
        <v>91.1</v>
      </c>
      <c r="BP15" s="24"/>
      <c r="BQ15" s="24"/>
      <c r="BR15" s="24"/>
      <c r="BS15" s="24">
        <v>182.9</v>
      </c>
      <c r="BT15" s="44">
        <f>Data_SPC[[#This Row],[gen_total]]/Data_country!AZ3*100</f>
        <v>7.5296745119084729</v>
      </c>
      <c r="BU15" s="44">
        <f>Data_SPC[[#This Row],[gen_fossil]]/Data_country!BA3*100</f>
        <v>6.4916881383155784</v>
      </c>
      <c r="BV15" s="44">
        <f>Data_SPC[[#This Row],[gen_fossil]]/Data_SPC[[#This Row],[gen_total]]*100</f>
        <v>57.360543540169509</v>
      </c>
      <c r="BW15" s="44"/>
      <c r="BX15" s="44"/>
      <c r="BY15" s="44"/>
      <c r="BZ15" s="44"/>
      <c r="CA15" s="44"/>
      <c r="CB15" s="44"/>
      <c r="CC15" s="44">
        <f>Data_SPC[[#This Row],[gen_h2o]]/Data_SPC[[#This Row],[gen_total]]*100</f>
        <v>14.176737700785244</v>
      </c>
      <c r="CD15" s="44"/>
      <c r="CE15" s="44"/>
      <c r="CF15" s="44"/>
      <c r="CG15" s="44">
        <f>Data_SPC[[#This Row],[gen_other]]/Data_SPC[[#This Row],[gen_total]]*100</f>
        <v>28.462407524408579</v>
      </c>
    </row>
    <row r="16" spans="1:96" s="42" customFormat="1" ht="25.4" customHeight="1" x14ac:dyDescent="0.25">
      <c r="A16" s="42" t="s">
        <v>316</v>
      </c>
      <c r="B16" s="42" t="s">
        <v>109</v>
      </c>
      <c r="C16" s="42" t="s">
        <v>44</v>
      </c>
      <c r="D16" s="23">
        <v>2022</v>
      </c>
      <c r="E16" s="23" t="b">
        <v>0</v>
      </c>
      <c r="F16" s="23" t="b">
        <v>1</v>
      </c>
      <c r="G16" s="23" t="b">
        <v>0</v>
      </c>
      <c r="H16" s="23" t="b">
        <v>0</v>
      </c>
      <c r="I16" s="43">
        <v>126500</v>
      </c>
      <c r="J16" s="24">
        <v>6.899</v>
      </c>
      <c r="K16" s="24">
        <v>1583965.44061779</v>
      </c>
      <c r="L16" s="24">
        <f>Data_SPC[[#This Row],[asset_local]]/Data_SPC[[#This Row],[exchange_rate_usd]]</f>
        <v>229593.48320304247</v>
      </c>
      <c r="M16" s="24">
        <f>(Data_SPC[[#This Row],[asset_local]]+K15)/2</f>
        <v>1539132.31877573</v>
      </c>
      <c r="N16" s="24">
        <f>Data_SPC[[#This Row],[avg_asset_local]]/Data_SPC[[#This Row],[exchange_rate_usd]]</f>
        <v>223094.98750191767</v>
      </c>
      <c r="O16" s="24">
        <v>1108609.35741246</v>
      </c>
      <c r="P16" s="24">
        <f>Data_SPC[[#This Row],[liability_local]]/Data_SPC[[#This Row],[exchange_rate_usd]]</f>
        <v>160691.31140925642</v>
      </c>
      <c r="Q16" s="24">
        <v>475356.08320533001</v>
      </c>
      <c r="R16" s="24">
        <f>Data_SPC[[#This Row],[equity_local]]/Data_SPC[[#This Row],[exchange_rate_usd]]</f>
        <v>68902.171793786052</v>
      </c>
      <c r="S16" s="24">
        <f>(Data_SPC[[#This Row],[equity_local]]+Q15)/2</f>
        <v>433860.81092658499</v>
      </c>
      <c r="T16" s="24">
        <f>Data_SPC[[#This Row],[avg_equity_local]]/Data_SPC[[#This Row],[exchange_rate_usd]]</f>
        <v>62887.49252450862</v>
      </c>
      <c r="U16" s="24">
        <v>360592.06769795</v>
      </c>
      <c r="V16" s="24">
        <f>Data_SPC[[#This Row],[revenue_local]]/Data_SPC[[#This Row],[exchange_rate_usd]]</f>
        <v>52267.294926503841</v>
      </c>
      <c r="W16" s="24">
        <f>26328.83657158+32853.90073116</f>
        <v>59182.737302740003</v>
      </c>
      <c r="X16" s="24">
        <f>Data_SPC[[#This Row],[ebit_local]]/Data_SPC[[#This Row],[exchange_rate_usd]]</f>
        <v>8578.4515585939989</v>
      </c>
      <c r="Y16" s="24">
        <v>19126.630481429998</v>
      </c>
      <c r="Z16" s="24">
        <f>Data_SPC[[#This Row],[net_profit_local]]/Data_SPC[[#This Row],[exchange_rate_usd]]</f>
        <v>2772.3772258921581</v>
      </c>
      <c r="AA16" s="24">
        <v>20395.659781319999</v>
      </c>
      <c r="AB16" s="24">
        <f>Data_SPC[[#This Row],[ci_local]]/Data_SPC[[#This Row],[exchange_rate_usd]]</f>
        <v>2956.3211742745325</v>
      </c>
      <c r="AC16" s="24">
        <f>Data_SPC[[#This Row],[liability_local]]/Data_SPC[[#This Row],[asset_local]]*100</f>
        <v>69.989491499263508</v>
      </c>
      <c r="AD16" s="24">
        <f>Data_SPC[[#This Row],[ebit_local]]/Data_SPC[[#This Row],[revenue_local]]*100</f>
        <v>16.412656462624806</v>
      </c>
      <c r="AE16" s="24">
        <f>Data_SPC[[#This Row],[net_profit_local]]/Data_SPC[[#This Row],[avg_equity_local]]*100</f>
        <v>4.4084715650122357</v>
      </c>
      <c r="AF16" s="24">
        <f>Data_SPC[[#This Row],[net_profit_local]]/Data_SPC[[#This Row],[avg_asset_local]]*100</f>
        <v>1.2426891598666363</v>
      </c>
      <c r="AG16" s="24" t="s">
        <v>213</v>
      </c>
      <c r="AH16" s="24">
        <v>212</v>
      </c>
      <c r="AI16" s="24">
        <f>SUM(Data_SPC[[#This Row],[ic_oil]:[ic_coal]])</f>
        <v>80.429299999999998</v>
      </c>
      <c r="AJ16" s="24"/>
      <c r="AK16" s="24">
        <v>8.1728000000000005</v>
      </c>
      <c r="AL16" s="24">
        <v>72.256500000000003</v>
      </c>
      <c r="AM16" s="24">
        <v>9.2126999999999999</v>
      </c>
      <c r="AN16" s="24">
        <f>SUM(Data_SPC[[#This Row],[ic_h2o]:[ic_other_re]])</f>
        <v>122.071</v>
      </c>
      <c r="AO16" s="24">
        <v>24.627099999999999</v>
      </c>
      <c r="AP16" s="24">
        <v>42.310299999999998</v>
      </c>
      <c r="AQ16" s="24">
        <v>53.303600000000003</v>
      </c>
      <c r="AR16" s="24">
        <v>1.83</v>
      </c>
      <c r="AS16" s="24">
        <v>0.28999999999999998</v>
      </c>
      <c r="AT16" s="44">
        <f>Data_SPC[[#This Row],[ic_total]]/Data_country!AC4*100</f>
        <v>8.7273685337197531</v>
      </c>
      <c r="AU16" s="44">
        <f>Data_SPC[[#This Row],[ic_fossil]]/Data_country!AD4*100</f>
        <v>6.5418927162552363</v>
      </c>
      <c r="AV16" s="44">
        <f>Data_SPC[[#This Row],[ic_fossil]]/Data_SPC[[#This Row],[ic_total]]*100</f>
        <v>37.938349056603769</v>
      </c>
      <c r="AW16" s="44">
        <f>Data_SPC[[#This Row],[ic_oil]]/Data_SPC[[#This Row],[ic_total]]*100</f>
        <v>0</v>
      </c>
      <c r="AX16" s="44">
        <f>Data_SPC[[#This Row],[ic_gas]]/Data_SPC[[#This Row],[ic_total]]*100</f>
        <v>3.8550943396226418</v>
      </c>
      <c r="AY16" s="44">
        <f>Data_SPC[[#This Row],[ic_coal]]/Data_SPC[[#This Row],[ic_total]]*100</f>
        <v>34.083254716981131</v>
      </c>
      <c r="AZ16" s="44">
        <f>Data_SPC[[#This Row],[ic_nuc]]/Data_SPC[[#This Row],[ic_total]]*100</f>
        <v>4.3456132075471698</v>
      </c>
      <c r="BA16" s="44">
        <f>Data_SPC[[#This Row],[ic_re]]/Data_country!AI4*100</f>
        <v>10.669049783247097</v>
      </c>
      <c r="BB16" s="44">
        <f>Data_SPC[[#This Row],[ic_re]]/Data_SPC[[#This Row],[ic_total]]*100</f>
        <v>57.580660377358498</v>
      </c>
      <c r="BC16" s="44">
        <f>Data_SPC[[#This Row],[ic_h2o]]/Data_SPC[[#This Row],[ic_total]]*100</f>
        <v>11.616556603773583</v>
      </c>
      <c r="BD16" s="44">
        <f>Data_SPC[[#This Row],[ic_wind]]/Data_SPC[[#This Row],[ic_total]]*100</f>
        <v>19.957688679245283</v>
      </c>
      <c r="BE16" s="44">
        <f>Data_SPC[[#This Row],[ic_solar]]/Data_SPC[[#This Row],[ic_total]]*100</f>
        <v>25.143207547169808</v>
      </c>
      <c r="BF16" s="44">
        <f>Data_SPC[[#This Row],[ic_other_re]]/Data_SPC[[#This Row],[ic_total]]*100</f>
        <v>0.86320754716981141</v>
      </c>
      <c r="BG16" s="44">
        <f>Data_SPC[[#This Row],[ic_other]]/Data_SPC[[#This Row],[ic_total]]*100</f>
        <v>0.13679245283018868</v>
      </c>
      <c r="BH16" s="24">
        <v>663.9</v>
      </c>
      <c r="BI16" s="24">
        <v>337.5</v>
      </c>
      <c r="BJ16" s="24"/>
      <c r="BK16" s="24"/>
      <c r="BL16" s="24"/>
      <c r="BM16" s="24"/>
      <c r="BN16" s="24"/>
      <c r="BO16" s="24">
        <v>82.8</v>
      </c>
      <c r="BP16" s="24"/>
      <c r="BQ16" s="24"/>
      <c r="BR16" s="24"/>
      <c r="BS16" s="24">
        <f>214.3+29.3</f>
        <v>243.60000000000002</v>
      </c>
      <c r="BT16" s="44">
        <f>Data_SPC[[#This Row],[gen_total]]/Data_country!AZ4*100</f>
        <v>7.5027885420586733</v>
      </c>
      <c r="BU16" s="44">
        <f>Data_SPC[[#This Row],[gen_fossil]]/Data_country!BA4*100</f>
        <v>5.8590291545290727</v>
      </c>
      <c r="BV16" s="44">
        <f>Data_SPC[[#This Row],[gen_fossil]]/Data_SPC[[#This Row],[gen_total]]*100</f>
        <v>50.835969272480796</v>
      </c>
      <c r="BW16" s="44"/>
      <c r="BX16" s="44"/>
      <c r="BY16" s="44"/>
      <c r="BZ16" s="44"/>
      <c r="CA16" s="44"/>
      <c r="CB16" s="44"/>
      <c r="CC16" s="44">
        <f>Data_SPC[[#This Row],[gen_h2o]]/Data_SPC[[#This Row],[gen_total]]*100</f>
        <v>12.471757794848621</v>
      </c>
      <c r="CD16" s="44"/>
      <c r="CE16" s="44"/>
      <c r="CF16" s="44"/>
      <c r="CG16" s="44">
        <f>Data_SPC[[#This Row],[gen_other]]/Data_SPC[[#This Row],[gen_total]]*100</f>
        <v>36.692272932670591</v>
      </c>
    </row>
    <row r="17" spans="1:85" s="42" customFormat="1" ht="25.4" customHeight="1" x14ac:dyDescent="0.25">
      <c r="A17" s="42" t="s">
        <v>316</v>
      </c>
      <c r="B17" s="42" t="s">
        <v>109</v>
      </c>
      <c r="C17" s="42" t="s">
        <v>44</v>
      </c>
      <c r="D17" s="23">
        <v>2023</v>
      </c>
      <c r="E17" s="23" t="b">
        <v>0</v>
      </c>
      <c r="F17" s="23" t="b">
        <v>1</v>
      </c>
      <c r="G17" s="23" t="b">
        <v>0</v>
      </c>
      <c r="H17" s="23" t="b">
        <v>0</v>
      </c>
      <c r="I17" s="43">
        <v>127514</v>
      </c>
      <c r="J17" s="24">
        <v>7.1050000000000004</v>
      </c>
      <c r="K17" s="24">
        <v>1753476.95181732</v>
      </c>
      <c r="L17" s="24">
        <f>Data_SPC[[#This Row],[asset_local]]/Data_SPC[[#This Row],[exchange_rate_usd]]</f>
        <v>246794.78561820125</v>
      </c>
      <c r="M17" s="24">
        <f>(Data_SPC[[#This Row],[asset_local]]+K16)/2</f>
        <v>1668721.1962175551</v>
      </c>
      <c r="N17" s="24">
        <f>Data_SPC[[#This Row],[avg_asset_local]]/Data_SPC[[#This Row],[exchange_rate_usd]]</f>
        <v>234865.75597713652</v>
      </c>
      <c r="O17" s="24">
        <v>1203057.49532184</v>
      </c>
      <c r="P17" s="24">
        <f>Data_SPC[[#This Row],[liability_local]]/Data_SPC[[#This Row],[exchange_rate_usd]]</f>
        <v>169325.47435916116</v>
      </c>
      <c r="Q17" s="24">
        <v>550419.45649548003</v>
      </c>
      <c r="R17" s="24">
        <f>Data_SPC[[#This Row],[equity_local]]/Data_SPC[[#This Row],[exchange_rate_usd]]</f>
        <v>77469.311259040114</v>
      </c>
      <c r="S17" s="24">
        <f>(Data_SPC[[#This Row],[equity_local]]+Q16)/2</f>
        <v>512887.76985040505</v>
      </c>
      <c r="T17" s="24">
        <f>Data_SPC[[#This Row],[avg_equity_local]]/Data_SPC[[#This Row],[exchange_rate_usd]]</f>
        <v>72186.878233695286</v>
      </c>
      <c r="U17" s="24">
        <v>385709.52326687</v>
      </c>
      <c r="V17" s="24">
        <f>Data_SPC[[#This Row],[revenue_local]]/Data_SPC[[#This Row],[exchange_rate_usd]]</f>
        <v>54287.054646990851</v>
      </c>
      <c r="W17" s="24">
        <f>40192.08270307+28240.55436116</f>
        <v>68432.637064230003</v>
      </c>
      <c r="X17" s="24">
        <f>Data_SPC[[#This Row],[ebit_local]]/Data_SPC[[#This Row],[exchange_rate_usd]]</f>
        <v>9631.616757808586</v>
      </c>
      <c r="Y17" s="24">
        <v>33065.638014370001</v>
      </c>
      <c r="Z17" s="24">
        <f>Data_SPC[[#This Row],[net_profit_local]]/Data_SPC[[#This Row],[exchange_rate_usd]]</f>
        <v>4653.8547521984519</v>
      </c>
      <c r="AA17" s="24">
        <v>33625.760378929997</v>
      </c>
      <c r="AB17" s="24">
        <f>Data_SPC[[#This Row],[ci_local]]/Data_SPC[[#This Row],[exchange_rate_usd]]</f>
        <v>4732.6897085052769</v>
      </c>
      <c r="AC17" s="24">
        <f>Data_SPC[[#This Row],[liability_local]]/Data_SPC[[#This Row],[asset_local]]*100</f>
        <v>68.609826554890276</v>
      </c>
      <c r="AD17" s="24">
        <f>Data_SPC[[#This Row],[ebit_local]]/Data_SPC[[#This Row],[revenue_local]]*100</f>
        <v>17.742013856598994</v>
      </c>
      <c r="AE17" s="24">
        <f>Data_SPC[[#This Row],[net_profit_local]]/Data_SPC[[#This Row],[avg_equity_local]]*100</f>
        <v>6.4469538870100802</v>
      </c>
      <c r="AF17" s="24">
        <f>Data_SPC[[#This Row],[net_profit_local]]/Data_SPC[[#This Row],[avg_asset_local]]*100</f>
        <v>1.9814956560340329</v>
      </c>
      <c r="AG17" s="24" t="s">
        <v>213</v>
      </c>
      <c r="AH17" s="24">
        <v>237</v>
      </c>
      <c r="AI17" s="24">
        <f>SUM(Data_SPC[[#This Row],[ic_oil]:[ic_coal]])</f>
        <v>80.694299999999998</v>
      </c>
      <c r="AJ17" s="24">
        <v>0</v>
      </c>
      <c r="AK17" s="24">
        <v>9.1877999999999993</v>
      </c>
      <c r="AL17" s="24">
        <v>71.506500000000003</v>
      </c>
      <c r="AM17" s="24">
        <v>9.2126999999999999</v>
      </c>
      <c r="AN17" s="24">
        <f>SUM(Data_SPC[[#This Row],[ic_h2o]:[ic_other_re]])</f>
        <v>147.55329999999998</v>
      </c>
      <c r="AO17" s="24">
        <v>25.5228</v>
      </c>
      <c r="AP17" s="24">
        <v>50.890999999999998</v>
      </c>
      <c r="AQ17" s="24">
        <v>69.1875</v>
      </c>
      <c r="AR17" s="24">
        <v>1.952</v>
      </c>
      <c r="AS17" s="24">
        <v>0</v>
      </c>
      <c r="AT17" s="44">
        <f>Data_SPC[[#This Row],[ic_total]]/Data_country!AC5*100</f>
        <v>8.5131756659674132</v>
      </c>
      <c r="AU17" s="44">
        <f>Data_SPC[[#This Row],[ic_fossil]]/Data_country!AD5*100</f>
        <v>6.2737068797959932</v>
      </c>
      <c r="AV17" s="44">
        <f>Data_SPC[[#This Row],[ic_fossil]]/Data_SPC[[#This Row],[ic_total]]*100</f>
        <v>34.048227848101263</v>
      </c>
      <c r="AW17" s="44">
        <f>Data_SPC[[#This Row],[ic_oil]]/Data_SPC[[#This Row],[ic_total]]*100</f>
        <v>0</v>
      </c>
      <c r="AX17" s="44">
        <f>Data_SPC[[#This Row],[ic_gas]]/Data_SPC[[#This Row],[ic_total]]*100</f>
        <v>3.8767088607594933</v>
      </c>
      <c r="AY17" s="44">
        <f>Data_SPC[[#This Row],[ic_coal]]/Data_SPC[[#This Row],[ic_total]]*100</f>
        <v>30.171518987341774</v>
      </c>
      <c r="AZ17" s="44">
        <f>Data_SPC[[#This Row],[ic_nuc]]/Data_SPC[[#This Row],[ic_total]]*100</f>
        <v>3.8872151898734177</v>
      </c>
      <c r="BA17" s="44">
        <f>Data_SPC[[#This Row],[ic_re]]/Data_country!AI5*100</f>
        <v>10.241209622565552</v>
      </c>
      <c r="BB17" s="44">
        <f>Data_SPC[[#This Row],[ic_re]]/Data_SPC[[#This Row],[ic_total]]*100</f>
        <v>62.258776371308009</v>
      </c>
      <c r="BC17" s="44">
        <f>Data_SPC[[#This Row],[ic_h2o]]/Data_SPC[[#This Row],[ic_total]]*100</f>
        <v>10.769113924050632</v>
      </c>
      <c r="BD17" s="44">
        <f>Data_SPC[[#This Row],[ic_wind]]/Data_SPC[[#This Row],[ic_total]]*100</f>
        <v>21.472995780590718</v>
      </c>
      <c r="BE17" s="44">
        <f>Data_SPC[[#This Row],[ic_solar]]/Data_SPC[[#This Row],[ic_total]]*100</f>
        <v>29.193037974683545</v>
      </c>
      <c r="BF17" s="44">
        <f>Data_SPC[[#This Row],[ic_other_re]]/Data_SPC[[#This Row],[ic_total]]*100</f>
        <v>0.82362869198312239</v>
      </c>
      <c r="BG17" s="44">
        <f>Data_SPC[[#This Row],[ic_other]]/Data_SPC[[#This Row],[ic_total]]*100</f>
        <v>0</v>
      </c>
      <c r="BH17" s="24">
        <v>681.4</v>
      </c>
      <c r="BI17" s="24">
        <v>364.3</v>
      </c>
      <c r="BJ17" s="24"/>
      <c r="BK17" s="24"/>
      <c r="BL17" s="24"/>
      <c r="BM17" s="24">
        <v>69.385000000000005</v>
      </c>
      <c r="BN17" s="24"/>
      <c r="BO17" s="24">
        <v>70.731999999999999</v>
      </c>
      <c r="BP17" s="24">
        <v>98.522999999999996</v>
      </c>
      <c r="BQ17" s="24"/>
      <c r="BR17" s="24"/>
      <c r="BS17" s="24">
        <f>246.4-Data_SPC[[#This Row],[gen_wind]]-Data_SPC[[#This Row],[gen_nuc]]</f>
        <v>78.492000000000004</v>
      </c>
      <c r="BT17" s="44">
        <f>Data_SPC[[#This Row],[gen_total]]/Data_country!AZ5*100</f>
        <v>7.2056638590591593</v>
      </c>
      <c r="BU17" s="44">
        <f>Data_SPC[[#This Row],[gen_fossil]]/Data_country!BA5*100</f>
        <v>5.9452508167988016</v>
      </c>
      <c r="BV17" s="44">
        <f>Data_SPC[[#This Row],[gen_fossil]]/Data_SPC[[#This Row],[gen_total]]*100</f>
        <v>53.463457587320228</v>
      </c>
      <c r="BW17" s="44"/>
      <c r="BX17" s="44"/>
      <c r="BY17" s="44"/>
      <c r="BZ17" s="44">
        <f>Data_SPC[[#This Row],[gen_nuc]]/Data_SPC[[#This Row],[gen_total]]*100</f>
        <v>10.182712063398885</v>
      </c>
      <c r="CA17" s="44"/>
      <c r="CB17" s="44"/>
      <c r="CC17" s="44">
        <f>Data_SPC[[#This Row],[gen_h2o]]/Data_SPC[[#This Row],[gen_total]]*100</f>
        <v>10.38039330789551</v>
      </c>
      <c r="CD17" s="44">
        <f>Data_SPC[[#This Row],[gen_wind]]/Data_SPC[[#This Row],[gen_total]]*100</f>
        <v>14.45890813031993</v>
      </c>
      <c r="CE17" s="44"/>
      <c r="CF17" s="44"/>
      <c r="CG17" s="44">
        <f>Data_SPC[[#This Row],[gen_other]]/Data_SPC[[#This Row],[gen_total]]*100</f>
        <v>11.519225124743176</v>
      </c>
    </row>
    <row r="18" spans="1:85" s="24" customFormat="1" ht="25.4" customHeight="1" x14ac:dyDescent="0.25">
      <c r="A18" s="42" t="s">
        <v>317</v>
      </c>
      <c r="B18" s="42" t="s">
        <v>334</v>
      </c>
      <c r="C18" s="42" t="s">
        <v>47</v>
      </c>
      <c r="D18" s="23">
        <v>2021</v>
      </c>
      <c r="E18" s="23" t="b">
        <v>0</v>
      </c>
      <c r="F18" s="23" t="b">
        <v>1</v>
      </c>
      <c r="G18" s="23" t="b">
        <v>0</v>
      </c>
      <c r="H18" s="23" t="b">
        <v>1</v>
      </c>
      <c r="I18" s="43">
        <f>19138+1633</f>
        <v>20771</v>
      </c>
      <c r="J18" s="24">
        <v>74.367999999999995</v>
      </c>
      <c r="K18" s="24">
        <v>4249459</v>
      </c>
      <c r="L18" s="24">
        <f>Data_SPC[[#This Row],[asset_local]]/Data_SPC[[#This Row],[exchange_rate_usd]]</f>
        <v>57140.961166092944</v>
      </c>
      <c r="M18" s="24">
        <f>(Data_SPC[[#This Row],[asset_local]]+3988876.4)/2</f>
        <v>4119167.7</v>
      </c>
      <c r="N18" s="24">
        <f>Data_SPC[[#This Row],[avg_asset_local]]/Data_SPC[[#This Row],[exchange_rate_usd]]</f>
        <v>55388.980475473327</v>
      </c>
      <c r="O18" s="24">
        <f>1985120.5+850212.8+22784.2+0</f>
        <v>2858117.5</v>
      </c>
      <c r="P18" s="24">
        <f>Data_SPC[[#This Row],[liability_local]]/Data_SPC[[#This Row],[exchange_rate_usd]]</f>
        <v>38432.087725903621</v>
      </c>
      <c r="Q18" s="24">
        <v>1391341.5</v>
      </c>
      <c r="R18" s="24">
        <f>Data_SPC[[#This Row],[equity_local]]/Data_SPC[[#This Row],[exchange_rate_usd]]</f>
        <v>18708.873440189331</v>
      </c>
      <c r="S18" s="24">
        <f>(Data_SPC[[#This Row],[equity_local]]+1292621.8)/2</f>
        <v>1341981.6499999999</v>
      </c>
      <c r="T18" s="24">
        <f>Data_SPC[[#This Row],[avg_equity_local]]/Data_SPC[[#This Row],[exchange_rate_usd]]</f>
        <v>18045.149123278828</v>
      </c>
      <c r="U18" s="24">
        <v>1349943.1</v>
      </c>
      <c r="V18" s="24">
        <f>Data_SPC[[#This Row],[revenue_local]]/Data_SPC[[#This Row],[exchange_rate_usd]]</f>
        <v>18152.203904905338</v>
      </c>
      <c r="W18" s="24">
        <f>169602.9+93159.8+50471</f>
        <v>313233.7</v>
      </c>
      <c r="X18" s="24">
        <f>Data_SPC[[#This Row],[ebit_local]]/Data_SPC[[#This Row],[exchange_rate_usd]]</f>
        <v>4211.9419642857147</v>
      </c>
      <c r="Y18" s="24">
        <v>169602.9</v>
      </c>
      <c r="Z18" s="24">
        <f>Data_SPC[[#This Row],[net_profit_local]]/Data_SPC[[#This Row],[exchange_rate_usd]]</f>
        <v>2280.5897697934597</v>
      </c>
      <c r="AA18" s="24">
        <v>168730.4</v>
      </c>
      <c r="AB18" s="24">
        <f>Data_SPC[[#This Row],[ci_local]]/Data_SPC[[#This Row],[exchange_rate_usd]]</f>
        <v>2268.8575731497417</v>
      </c>
      <c r="AC18" s="24">
        <f>Data_SPC[[#This Row],[liability_local]]/Data_SPC[[#This Row],[asset_local]]*100</f>
        <v>67.258385126200764</v>
      </c>
      <c r="AD18" s="24">
        <f>Data_SPC[[#This Row],[ebit_local]]/Data_SPC[[#This Row],[revenue_local]]*100</f>
        <v>23.203474279767793</v>
      </c>
      <c r="AE18" s="24">
        <f>Data_SPC[[#This Row],[net_profit_local]]/Data_SPC[[#This Row],[avg_equity_local]]*100</f>
        <v>12.63824285525812</v>
      </c>
      <c r="AF18" s="24">
        <f>Data_SPC[[#This Row],[net_profit_local]]/Data_SPC[[#This Row],[avg_asset_local]]*100</f>
        <v>4.1174070188985024</v>
      </c>
      <c r="AG18" s="24" t="s">
        <v>214</v>
      </c>
      <c r="AH18" s="24">
        <v>68.962000000000003</v>
      </c>
      <c r="AI18" s="24">
        <f>SUM(Data_SPC[[#This Row],[ic_oil]:[ic_coal]])</f>
        <v>63.385000000000005</v>
      </c>
      <c r="AJ18" s="24">
        <v>0</v>
      </c>
      <c r="AK18" s="24">
        <v>6.5110000000000001</v>
      </c>
      <c r="AL18" s="24">
        <v>56.874000000000002</v>
      </c>
      <c r="AM18" s="24">
        <v>0</v>
      </c>
      <c r="AN18" s="24">
        <f>Data_SPC[[#This Row],[ic_h2o]]+1.852</f>
        <v>5.577</v>
      </c>
      <c r="AO18" s="24">
        <v>3.7250000000000001</v>
      </c>
      <c r="AP18" s="24">
        <v>0.16300000000000001</v>
      </c>
      <c r="AQ18" s="24">
        <f>0.275+0.005+0.62+0.3+0.01+0.005+0.005+0.09+0.275+0.072</f>
        <v>1.657</v>
      </c>
      <c r="AR18" s="24">
        <v>0</v>
      </c>
      <c r="AS18" s="24">
        <v>0</v>
      </c>
      <c r="AT18" s="44">
        <f>Data_SPC[[#This Row],[ic_total]]/Data_country!AC6*100</f>
        <v>15.825320696697801</v>
      </c>
      <c r="AU18" s="44">
        <f>Data_SPC[[#This Row],[ic_fossil]]/Data_country!AD6*100</f>
        <v>22.491306507699953</v>
      </c>
      <c r="AV18" s="44">
        <f>Data_SPC[[#This Row],[ic_fossil]]/Data_SPC[[#This Row],[ic_total]]*100</f>
        <v>91.91293755981556</v>
      </c>
      <c r="AW18" s="44">
        <f>Data_SPC[[#This Row],[ic_oil]]/Data_SPC[[#This Row],[ic_total]]*100</f>
        <v>0</v>
      </c>
      <c r="AX18" s="44">
        <f>Data_SPC[[#This Row],[ic_gas]]/Data_SPC[[#This Row],[ic_total]]*100</f>
        <v>9.4414315130071635</v>
      </c>
      <c r="AY18" s="44">
        <f>Data_SPC[[#This Row],[ic_coal]]/Data_SPC[[#This Row],[ic_total]]*100</f>
        <v>82.471506046808386</v>
      </c>
      <c r="AZ18" s="44">
        <f>Data_SPC[[#This Row],[ic_nuc]]/Data_SPC[[#This Row],[ic_total]]*100</f>
        <v>0</v>
      </c>
      <c r="BA18" s="44">
        <f>Data_SPC[[#This Row],[ic_re]]/Data_country!AI6*100</f>
        <v>3.7894951416728953</v>
      </c>
      <c r="BB18" s="44">
        <f>Data_SPC[[#This Row],[ic_re]]/Data_SPC[[#This Row],[ic_total]]*100</f>
        <v>8.0870624401844484</v>
      </c>
      <c r="BC18" s="44">
        <f>Data_SPC[[#This Row],[ic_h2o]]/Data_SPC[[#This Row],[ic_total]]*100</f>
        <v>5.4015254777993675</v>
      </c>
      <c r="BD18" s="44">
        <f>Data_SPC[[#This Row],[ic_wind]]/Data_SPC[[#This Row],[ic_total]]*100</f>
        <v>0.23636205446477768</v>
      </c>
      <c r="BE18" s="44">
        <f>Data_SPC[[#This Row],[ic_solar]]/Data_SPC[[#This Row],[ic_total]]*100</f>
        <v>2.4027725413996111</v>
      </c>
      <c r="BF18" s="44">
        <f>Data_SPC[[#This Row],[ic_other_re]]/Data_SPC[[#This Row],[ic_total]]*100</f>
        <v>0</v>
      </c>
      <c r="BG18" s="44">
        <f>Data_SPC[[#This Row],[ic_other]]/Data_SPC[[#This Row],[ic_total]]*100</f>
        <v>0</v>
      </c>
      <c r="BH18" s="24">
        <v>360.51</v>
      </c>
      <c r="BI18" s="24">
        <f>SUM(Data_SPC[[#This Row],[gen_oil]:[gen_coal]])</f>
        <v>345.87</v>
      </c>
      <c r="BJ18" s="24">
        <v>0</v>
      </c>
      <c r="BK18" s="24">
        <v>8.6</v>
      </c>
      <c r="BL18" s="24">
        <v>337.27</v>
      </c>
      <c r="BM18" s="24">
        <v>0</v>
      </c>
      <c r="BN18" s="24">
        <f>2.55+Data_SPC[[#This Row],[gen_h2o]]</f>
        <v>14.64</v>
      </c>
      <c r="BO18" s="24">
        <v>12.09</v>
      </c>
      <c r="BT18" s="44">
        <f>Data_SPC[[#This Row],[gen_total]]/Data_country!AZ6*100</f>
        <v>21.262628943503724</v>
      </c>
      <c r="BU18" s="44">
        <f>Data_SPC[[#This Row],[gen_fossil]]/Data_country!BA6*100</f>
        <v>26.215181718270365</v>
      </c>
      <c r="BV18" s="44">
        <f>Data_SPC[[#This Row],[gen_fossil]]/Data_SPC[[#This Row],[gen_total]]*100</f>
        <v>95.939086294416242</v>
      </c>
      <c r="BW18" s="44">
        <f>Data_SPC[[#This Row],[gen_oil]]/Data_SPC[[#This Row],[gen_total]]*100</f>
        <v>0</v>
      </c>
      <c r="BX18" s="44">
        <f>Data_SPC[[#This Row],[gen_gas]]/Data_SPC[[#This Row],[gen_total]]*100</f>
        <v>2.3855094172145019</v>
      </c>
      <c r="BY18" s="44">
        <f>Data_SPC[[#This Row],[gen_coal]]/Data_SPC[[#This Row],[gen_total]]*100</f>
        <v>93.553576877201735</v>
      </c>
      <c r="BZ18" s="44">
        <f>Data_SPC[[#This Row],[gen_nuc]]/Data_SPC[[#This Row],[gen_total]]*100</f>
        <v>0</v>
      </c>
      <c r="CA18" s="44">
        <f>Data_SPC[[#This Row],[gen_re]]/Data_country!BF6*100</f>
        <v>4.4064531663857451</v>
      </c>
      <c r="CB18" s="44">
        <f>Data_SPC[[#This Row],[gen_re]]/Data_SPC[[#This Row],[gen_total]]*100</f>
        <v>4.060913705583757</v>
      </c>
      <c r="CC18" s="44">
        <f>Data_SPC[[#This Row],[gen_h2o]]/Data_SPC[[#This Row],[gen_total]]*100</f>
        <v>3.3535824248980615</v>
      </c>
      <c r="CD18" s="44"/>
      <c r="CE18" s="44"/>
      <c r="CF18" s="44"/>
      <c r="CG18" s="44"/>
    </row>
    <row r="19" spans="1:85" s="24" customFormat="1" ht="25.4" customHeight="1" x14ac:dyDescent="0.25">
      <c r="A19" s="42" t="s">
        <v>317</v>
      </c>
      <c r="B19" s="42" t="s">
        <v>334</v>
      </c>
      <c r="C19" s="42" t="s">
        <v>47</v>
      </c>
      <c r="D19" s="23">
        <v>2022</v>
      </c>
      <c r="E19" s="23" t="b">
        <v>0</v>
      </c>
      <c r="F19" s="23" t="b">
        <v>1</v>
      </c>
      <c r="G19" s="23" t="b">
        <v>0</v>
      </c>
      <c r="H19" s="23" t="b">
        <v>1</v>
      </c>
      <c r="I19" s="43">
        <f>15284+1214</f>
        <v>16498</v>
      </c>
      <c r="J19" s="24">
        <v>82.665000000000006</v>
      </c>
      <c r="K19" s="24">
        <v>4479132.5</v>
      </c>
      <c r="L19" s="24">
        <f>Data_SPC[[#This Row],[asset_local]]/Data_SPC[[#This Row],[exchange_rate_usd]]</f>
        <v>54184.146857799547</v>
      </c>
      <c r="M19" s="24">
        <f>(Data_SPC[[#This Row],[asset_local]]+K18)/2</f>
        <v>4364295.75</v>
      </c>
      <c r="N19" s="24">
        <f>Data_SPC[[#This Row],[avg_asset_local]]/Data_SPC[[#This Row],[exchange_rate_usd]]</f>
        <v>52794.964616222096</v>
      </c>
      <c r="O19" s="24">
        <f>2075844.1+858201.3+29504.8+6046.1</f>
        <v>2969596.3000000003</v>
      </c>
      <c r="P19" s="24">
        <f>Data_SPC[[#This Row],[liability_local]]/Data_SPC[[#This Row],[exchange_rate_usd]]</f>
        <v>35923.260146373919</v>
      </c>
      <c r="Q19" s="24">
        <v>1509536.2</v>
      </c>
      <c r="R19" s="24">
        <f>Data_SPC[[#This Row],[equity_local]]/Data_SPC[[#This Row],[exchange_rate_usd]]</f>
        <v>18260.886711425632</v>
      </c>
      <c r="S19" s="24">
        <f>(Data_SPC[[#This Row],[equity_local]]+Q18)/2</f>
        <v>1450438.85</v>
      </c>
      <c r="T19" s="24">
        <f>Data_SPC[[#This Row],[avg_equity_local]]/Data_SPC[[#This Row],[exchange_rate_usd]]</f>
        <v>17545.984999697575</v>
      </c>
      <c r="U19" s="24">
        <v>1779763.9</v>
      </c>
      <c r="V19" s="24">
        <f>Data_SPC[[#This Row],[revenue_local]]/Data_SPC[[#This Row],[exchange_rate_usd]]</f>
        <v>21529.836085404946</v>
      </c>
      <c r="W19" s="24">
        <f>171213.5+111560.6+67961.2</f>
        <v>350735.3</v>
      </c>
      <c r="X19" s="24">
        <f>Data_SPC[[#This Row],[ebit_local]]/Data_SPC[[#This Row],[exchange_rate_usd]]</f>
        <v>4242.851267162644</v>
      </c>
      <c r="Y19" s="24">
        <v>171213.5</v>
      </c>
      <c r="Z19" s="24">
        <f>Data_SPC[[#This Row],[net_profit_local]]/Data_SPC[[#This Row],[exchange_rate_usd]]</f>
        <v>2071.1728059033449</v>
      </c>
      <c r="AA19" s="24">
        <v>169183.5</v>
      </c>
      <c r="AB19" s="24">
        <f>Data_SPC[[#This Row],[ci_local]]/Data_SPC[[#This Row],[exchange_rate_usd]]</f>
        <v>2046.6158591907094</v>
      </c>
      <c r="AC19" s="24">
        <f>Data_SPC[[#This Row],[liability_local]]/Data_SPC[[#This Row],[asset_local]]*100</f>
        <v>66.298469625535745</v>
      </c>
      <c r="AD19" s="24">
        <f>Data_SPC[[#This Row],[ebit_local]]/Data_SPC[[#This Row],[revenue_local]]*100</f>
        <v>19.70684426175854</v>
      </c>
      <c r="AE19" s="24">
        <f>Data_SPC[[#This Row],[net_profit_local]]/Data_SPC[[#This Row],[avg_equity_local]]*100</f>
        <v>11.804254967384525</v>
      </c>
      <c r="AF19" s="24">
        <f>Data_SPC[[#This Row],[net_profit_local]]/Data_SPC[[#This Row],[avg_asset_local]]*100</f>
        <v>3.9230498987150448</v>
      </c>
      <c r="AG19" s="24" t="s">
        <v>214</v>
      </c>
      <c r="AH19" s="24">
        <v>72.254000000000005</v>
      </c>
      <c r="AI19" s="24">
        <f>SUM(Data_SPC[[#This Row],[ic_oil]:[ic_coal]])</f>
        <v>65.325000000000003</v>
      </c>
      <c r="AJ19" s="24">
        <v>0</v>
      </c>
      <c r="AK19" s="24">
        <v>6.5110000000000001</v>
      </c>
      <c r="AL19" s="24">
        <v>58.814</v>
      </c>
      <c r="AM19" s="24">
        <v>0</v>
      </c>
      <c r="AN19" s="24">
        <f>SUM(Data_SPC[[#This Row],[ic_h2o]:[ic_other_re]])</f>
        <v>6.9290000000000003</v>
      </c>
      <c r="AO19" s="24">
        <v>3.7570000000000001</v>
      </c>
      <c r="AP19" s="24">
        <v>0.16300000000000001</v>
      </c>
      <c r="AQ19" s="24">
        <v>3.0089999999999999</v>
      </c>
      <c r="AR19" s="24">
        <v>0</v>
      </c>
      <c r="AS19" s="24">
        <v>0</v>
      </c>
      <c r="AT19" s="44">
        <f>Data_SPC[[#This Row],[ic_total]]/Data_country!AC7*100</f>
        <v>15.961738131530698</v>
      </c>
      <c r="AU19" s="44">
        <f>Data_SPC[[#This Row],[ic_fossil]]/Data_country!AD7*100</f>
        <v>23.087933837562737</v>
      </c>
      <c r="AV19" s="44">
        <f>Data_SPC[[#This Row],[ic_fossil]]/Data_SPC[[#This Row],[ic_total]]*100</f>
        <v>90.410219503418503</v>
      </c>
      <c r="AW19" s="44">
        <f>Data_SPC[[#This Row],[ic_oil]]/Data_SPC[[#This Row],[ic_total]]*100</f>
        <v>0</v>
      </c>
      <c r="AX19" s="44">
        <f>Data_SPC[[#This Row],[ic_gas]]/Data_SPC[[#This Row],[ic_total]]*100</f>
        <v>9.0112658122733684</v>
      </c>
      <c r="AY19" s="44">
        <f>Data_SPC[[#This Row],[ic_coal]]/Data_SPC[[#This Row],[ic_total]]*100</f>
        <v>81.398953691145124</v>
      </c>
      <c r="AZ19" s="44">
        <f>Data_SPC[[#This Row],[ic_nuc]]/Data_SPC[[#This Row],[ic_total]]*100</f>
        <v>0</v>
      </c>
      <c r="BA19" s="44">
        <f>Data_SPC[[#This Row],[ic_re]]/Data_country!AI7*100</f>
        <v>4.2522246087756983</v>
      </c>
      <c r="BB19" s="44">
        <f>Data_SPC[[#This Row],[ic_re]]/Data_SPC[[#This Row],[ic_total]]*100</f>
        <v>9.5897804965815041</v>
      </c>
      <c r="BC19" s="44">
        <f>Data_SPC[[#This Row],[ic_h2o]]/Data_SPC[[#This Row],[ic_total]]*100</f>
        <v>5.1997121266642674</v>
      </c>
      <c r="BD19" s="44">
        <f>Data_SPC[[#This Row],[ic_wind]]/Data_SPC[[#This Row],[ic_total]]*100</f>
        <v>0.22559304675173691</v>
      </c>
      <c r="BE19" s="44">
        <f>Data_SPC[[#This Row],[ic_solar]]/Data_SPC[[#This Row],[ic_total]]*100</f>
        <v>4.1644753231654992</v>
      </c>
      <c r="BF19" s="44">
        <f>Data_SPC[[#This Row],[ic_other_re]]/Data_SPC[[#This Row],[ic_total]]*100</f>
        <v>0</v>
      </c>
      <c r="BG19" s="44">
        <f>Data_SPC[[#This Row],[ic_other]]/Data_SPC[[#This Row],[ic_total]]*100</f>
        <v>0</v>
      </c>
      <c r="BH19" s="24">
        <v>399.31</v>
      </c>
      <c r="BI19" s="24">
        <f>SUM(Data_SPC[[#This Row],[gen_oil]:[gen_coal]])</f>
        <v>381.51</v>
      </c>
      <c r="BJ19" s="24">
        <v>0</v>
      </c>
      <c r="BK19" s="24">
        <v>5.18</v>
      </c>
      <c r="BL19" s="24">
        <v>376.33</v>
      </c>
      <c r="BM19" s="24">
        <v>0</v>
      </c>
      <c r="BN19" s="24">
        <f>4.92+Data_SPC[[#This Row],[gen_h2o]]</f>
        <v>17.8</v>
      </c>
      <c r="BO19" s="24">
        <v>12.88</v>
      </c>
      <c r="BT19" s="44">
        <f>Data_SPC[[#This Row],[gen_total]]/Data_country!AZ7*100</f>
        <v>21.828568304816052</v>
      </c>
      <c r="BU19" s="44">
        <f>Data_SPC[[#This Row],[gen_fossil]]/Data_country!BA7*100</f>
        <v>27.165530942259625</v>
      </c>
      <c r="BV19" s="44">
        <f>Data_SPC[[#This Row],[gen_fossil]]/Data_SPC[[#This Row],[gen_total]]*100</f>
        <v>95.542310485587635</v>
      </c>
      <c r="BW19" s="44">
        <f>Data_SPC[[#This Row],[gen_oil]]/Data_SPC[[#This Row],[gen_total]]*100</f>
        <v>0</v>
      </c>
      <c r="BX19" s="44">
        <f>Data_SPC[[#This Row],[gen_gas]]/Data_SPC[[#This Row],[gen_total]]*100</f>
        <v>1.2972377350930355</v>
      </c>
      <c r="BY19" s="44">
        <f>Data_SPC[[#This Row],[gen_coal]]/Data_SPC[[#This Row],[gen_total]]*100</f>
        <v>94.2450727504946</v>
      </c>
      <c r="BZ19" s="44">
        <f>Data_SPC[[#This Row],[gen_nuc]]/Data_SPC[[#This Row],[gen_total]]*100</f>
        <v>0</v>
      </c>
      <c r="CA19" s="44">
        <f>Data_SPC[[#This Row],[gen_re]]/Data_country!BF7*100</f>
        <v>4.7000422475707646</v>
      </c>
      <c r="CB19" s="44">
        <f>Data_SPC[[#This Row],[gen_re]]/Data_SPC[[#This Row],[gen_total]]*100</f>
        <v>4.4576895144123618</v>
      </c>
      <c r="CC19" s="44">
        <f>Data_SPC[[#This Row],[gen_h2o]]/Data_SPC[[#This Row],[gen_total]]*100</f>
        <v>3.2255640980691695</v>
      </c>
      <c r="CD19" s="44"/>
      <c r="CE19" s="44"/>
      <c r="CF19" s="44"/>
      <c r="CG19" s="44"/>
    </row>
    <row r="20" spans="1:85" s="24" customFormat="1" ht="25.4" customHeight="1" x14ac:dyDescent="0.25">
      <c r="A20" s="42" t="s">
        <v>317</v>
      </c>
      <c r="B20" s="42" t="s">
        <v>334</v>
      </c>
      <c r="C20" s="42" t="s">
        <v>47</v>
      </c>
      <c r="D20" s="23">
        <v>2023</v>
      </c>
      <c r="E20" s="23" t="b">
        <v>0</v>
      </c>
      <c r="F20" s="23" t="b">
        <v>1</v>
      </c>
      <c r="G20" s="23" t="b">
        <v>0</v>
      </c>
      <c r="H20" s="23" t="b">
        <v>1</v>
      </c>
      <c r="I20" s="43">
        <f>18451+1623</f>
        <v>20074</v>
      </c>
      <c r="J20" s="24">
        <v>83.171000000000006</v>
      </c>
      <c r="K20" s="24">
        <v>4801965.7</v>
      </c>
      <c r="L20" s="24">
        <f>Data_SPC[[#This Row],[asset_local]]/Data_SPC[[#This Row],[exchange_rate_usd]]</f>
        <v>57736.058241454353</v>
      </c>
      <c r="M20" s="24">
        <f>(Data_SPC[[#This Row],[asset_local]]+K19)/2</f>
        <v>4640549.0999999996</v>
      </c>
      <c r="N20" s="24">
        <f>Data_SPC[[#This Row],[avg_asset_local]]/Data_SPC[[#This Row],[exchange_rate_usd]]</f>
        <v>55795.278402327727</v>
      </c>
      <c r="O20" s="24">
        <f>2127191.2+984043.4+26510+12998.3</f>
        <v>3150742.9</v>
      </c>
      <c r="P20" s="24">
        <f>Data_SPC[[#This Row],[liability_local]]/Data_SPC[[#This Row],[exchange_rate_usd]]</f>
        <v>37882.710319702775</v>
      </c>
      <c r="Q20" s="24">
        <v>1651222.8</v>
      </c>
      <c r="R20" s="24">
        <f>Data_SPC[[#This Row],[equity_local]]/Data_SPC[[#This Row],[exchange_rate_usd]]</f>
        <v>19853.347921751571</v>
      </c>
      <c r="S20" s="24">
        <f>(Data_SPC[[#This Row],[equity_local]]+Q19)/2</f>
        <v>1580379.5</v>
      </c>
      <c r="T20" s="24">
        <f>Data_SPC[[#This Row],[avg_equity_local]]/Data_SPC[[#This Row],[exchange_rate_usd]]</f>
        <v>19001.569056522105</v>
      </c>
      <c r="U20" s="24">
        <v>1811658.6</v>
      </c>
      <c r="V20" s="24">
        <f>Data_SPC[[#This Row],[revenue_local]]/Data_SPC[[#This Row],[exchange_rate_usd]]</f>
        <v>21782.335188948069</v>
      </c>
      <c r="W20" s="24">
        <f>213324.5+120482.1+68092</f>
        <v>401898.6</v>
      </c>
      <c r="X20" s="24">
        <f>Data_SPC[[#This Row],[ebit_local]]/Data_SPC[[#This Row],[exchange_rate_usd]]</f>
        <v>4832.1963184282977</v>
      </c>
      <c r="Y20" s="24">
        <v>213324.5</v>
      </c>
      <c r="Z20" s="24">
        <f>Data_SPC[[#This Row],[net_profit_local]]/Data_SPC[[#This Row],[exchange_rate_usd]]</f>
        <v>2564.890406511885</v>
      </c>
      <c r="AA20" s="24">
        <v>213078.39999999999</v>
      </c>
      <c r="AB20" s="24">
        <f>Data_SPC[[#This Row],[ci_local]]/Data_SPC[[#This Row],[exchange_rate_usd]]</f>
        <v>2561.9314424498921</v>
      </c>
      <c r="AC20" s="24">
        <f>Data_SPC[[#This Row],[liability_local]]/Data_SPC[[#This Row],[asset_local]]*100</f>
        <v>65.61360694433948</v>
      </c>
      <c r="AD20" s="24">
        <f>Data_SPC[[#This Row],[ebit_local]]/Data_SPC[[#This Row],[revenue_local]]*100</f>
        <v>22.184014140412543</v>
      </c>
      <c r="AE20" s="24">
        <f>Data_SPC[[#This Row],[net_profit_local]]/Data_SPC[[#This Row],[avg_equity_local]]*100</f>
        <v>13.498308475907212</v>
      </c>
      <c r="AF20" s="24">
        <f>Data_SPC[[#This Row],[net_profit_local]]/Data_SPC[[#This Row],[avg_asset_local]]*100</f>
        <v>4.5969667684369515</v>
      </c>
      <c r="AG20" s="24" t="s">
        <v>214</v>
      </c>
      <c r="AH20" s="24">
        <v>76</v>
      </c>
      <c r="AI20" s="24">
        <f>SUM(Data_SPC[[#This Row],[ic_oil]:[ic_coal]])</f>
        <v>68.7</v>
      </c>
      <c r="AJ20" s="24">
        <v>0</v>
      </c>
      <c r="AK20" s="24">
        <v>6.5</v>
      </c>
      <c r="AL20" s="24">
        <v>62.2</v>
      </c>
      <c r="AM20" s="24">
        <v>0</v>
      </c>
      <c r="AN20" s="24">
        <f>SUM(Data_SPC[[#This Row],[ic_h2o]:[ic_other_re]])</f>
        <v>7.3</v>
      </c>
      <c r="AO20" s="24">
        <v>3.8</v>
      </c>
      <c r="AP20" s="24">
        <v>0.2</v>
      </c>
      <c r="AQ20" s="24">
        <v>3.3</v>
      </c>
      <c r="AR20" s="24">
        <v>0</v>
      </c>
      <c r="AS20" s="24">
        <v>0</v>
      </c>
      <c r="AT20" s="44">
        <f>Data_SPC[[#This Row],[ic_total]]/Data_country!AC8*100</f>
        <v>16.109203442282421</v>
      </c>
      <c r="AU20" s="44">
        <f>Data_SPC[[#This Row],[ic_fossil]]/Data_country!AD8*100</f>
        <v>23.799625857410099</v>
      </c>
      <c r="AV20" s="44">
        <f>Data_SPC[[#This Row],[ic_fossil]]/Data_SPC[[#This Row],[ic_total]]*100</f>
        <v>90.394736842105274</v>
      </c>
      <c r="AW20" s="44">
        <f>Data_SPC[[#This Row],[ic_oil]]/Data_SPC[[#This Row],[ic_total]]*100</f>
        <v>0</v>
      </c>
      <c r="AX20" s="44">
        <f>Data_SPC[[#This Row],[ic_gas]]/Data_SPC[[#This Row],[ic_total]]*100</f>
        <v>8.5526315789473681</v>
      </c>
      <c r="AY20" s="44">
        <f>Data_SPC[[#This Row],[ic_coal]]/Data_SPC[[#This Row],[ic_total]]*100</f>
        <v>81.84210526315789</v>
      </c>
      <c r="AZ20" s="44">
        <f>Data_SPC[[#This Row],[ic_nuc]]/Data_SPC[[#This Row],[ic_total]]*100</f>
        <v>0</v>
      </c>
      <c r="BA20" s="44">
        <f>Data_SPC[[#This Row],[ic_re]]/Data_country!AI8*100</f>
        <v>4.1562286495103624</v>
      </c>
      <c r="BB20" s="44">
        <f>Data_SPC[[#This Row],[ic_re]]/Data_SPC[[#This Row],[ic_total]]*100</f>
        <v>9.6052631578947363</v>
      </c>
      <c r="BC20" s="44">
        <f>Data_SPC[[#This Row],[ic_h2o]]/Data_SPC[[#This Row],[ic_total]]*100</f>
        <v>5</v>
      </c>
      <c r="BD20" s="44">
        <f>Data_SPC[[#This Row],[ic_wind]]/Data_SPC[[#This Row],[ic_total]]*100</f>
        <v>0.26315789473684209</v>
      </c>
      <c r="BE20" s="44">
        <f>Data_SPC[[#This Row],[ic_solar]]/Data_SPC[[#This Row],[ic_total]]*100</f>
        <v>4.3421052631578947</v>
      </c>
      <c r="BF20" s="44">
        <f>Data_SPC[[#This Row],[ic_other_re]]/Data_SPC[[#This Row],[ic_total]]*100</f>
        <v>0</v>
      </c>
      <c r="BG20" s="44">
        <f>Data_SPC[[#This Row],[ic_other]]/Data_SPC[[#This Row],[ic_total]]*100</f>
        <v>0</v>
      </c>
      <c r="BH20" s="24">
        <v>422.22</v>
      </c>
      <c r="BI20" s="24">
        <f>SUM(Data_SPC[[#This Row],[gen_oil]:[gen_coal]])</f>
        <v>402.89</v>
      </c>
      <c r="BJ20" s="24">
        <v>0</v>
      </c>
      <c r="BK20" s="24">
        <v>7.65</v>
      </c>
      <c r="BL20" s="24">
        <v>395.24</v>
      </c>
      <c r="BM20" s="24">
        <v>0</v>
      </c>
      <c r="BN20" s="24">
        <f>6.93+Data_SPC[[#This Row],[gen_h2o]]</f>
        <v>19.32</v>
      </c>
      <c r="BO20" s="24">
        <v>12.39</v>
      </c>
      <c r="BT20" s="44">
        <f>Data_SPC[[#This Row],[gen_total]]/Data_country!AZ8*100</f>
        <v>21.561197810278617</v>
      </c>
      <c r="BU20" s="44">
        <f>Data_SPC[[#This Row],[gen_fossil]]/Data_country!BA8*100</f>
        <v>26.365938733173216</v>
      </c>
      <c r="BV20" s="44">
        <f>Data_SPC[[#This Row],[gen_fossil]]/Data_SPC[[#This Row],[gen_total]]*100</f>
        <v>95.421818009568454</v>
      </c>
      <c r="BW20" s="44">
        <f>Data_SPC[[#This Row],[gen_oil]]/Data_SPC[[#This Row],[gen_total]]*100</f>
        <v>0</v>
      </c>
      <c r="BX20" s="44">
        <f>Data_SPC[[#This Row],[gen_gas]]/Data_SPC[[#This Row],[gen_total]]*100</f>
        <v>1.8118516413244281</v>
      </c>
      <c r="BY20" s="44">
        <f>Data_SPC[[#This Row],[gen_coal]]/Data_SPC[[#This Row],[gen_total]]*100</f>
        <v>93.609966368244031</v>
      </c>
      <c r="BZ20" s="44">
        <f>Data_SPC[[#This Row],[gen_nuc]]/Data_SPC[[#This Row],[gen_total]]*100</f>
        <v>0</v>
      </c>
      <c r="CA20" s="44">
        <f>Data_SPC[[#This Row],[gen_re]]/Data_country!BF8*100</f>
        <v>5.0579888472916714</v>
      </c>
      <c r="CB20" s="44">
        <f>Data_SPC[[#This Row],[gen_re]]/Data_SPC[[#This Row],[gen_total]]*100</f>
        <v>4.5758135569134568</v>
      </c>
      <c r="CC20" s="44">
        <f>Data_SPC[[#This Row],[gen_h2o]]/Data_SPC[[#This Row],[gen_total]]*100</f>
        <v>2.934489128890152</v>
      </c>
      <c r="CD20" s="44"/>
      <c r="CE20" s="44"/>
      <c r="CF20" s="44"/>
      <c r="CG20" s="44"/>
    </row>
    <row r="21" spans="1:85" ht="25.25" customHeight="1" x14ac:dyDescent="0.25">
      <c r="A21" s="42" t="s">
        <v>318</v>
      </c>
      <c r="B21" s="42" t="s">
        <v>335</v>
      </c>
      <c r="C21" s="42" t="s">
        <v>49</v>
      </c>
      <c r="D21" s="23">
        <v>2021</v>
      </c>
      <c r="E21" s="23" t="b">
        <v>1</v>
      </c>
      <c r="F21" s="23" t="b">
        <v>1</v>
      </c>
      <c r="G21" s="23" t="b">
        <v>1</v>
      </c>
      <c r="H21" s="23" t="b">
        <v>1</v>
      </c>
      <c r="I21" s="43">
        <v>52116</v>
      </c>
      <c r="J21" s="24">
        <v>14215.450999999999</v>
      </c>
      <c r="K21" s="24">
        <v>1613216456</v>
      </c>
      <c r="L21" s="24">
        <f>Data_SPC[[#This Row],[asset_local]]/Data_SPC[[#This Row],[exchange_rate_usd]]</f>
        <v>113483.31164449162</v>
      </c>
      <c r="M21" s="24">
        <f>(Data_SPC[[#This Row],[asset_local]]+1588914720)/2</f>
        <v>1601065588</v>
      </c>
      <c r="N21" s="24">
        <f>Data_SPC[[#This Row],[avg_asset_local]]/Data_SPC[[#This Row],[exchange_rate_usd]]</f>
        <v>112628.54678335566</v>
      </c>
      <c r="O21" s="24">
        <v>631609333</v>
      </c>
      <c r="P21" s="24">
        <f>Data_SPC[[#This Row],[liability_local]]/Data_SPC[[#This Row],[exchange_rate_usd]]</f>
        <v>44431.184983156709</v>
      </c>
      <c r="Q21" s="24">
        <v>981607123</v>
      </c>
      <c r="R21" s="24">
        <f>Data_SPC[[#This Row],[equity_local]]/Data_SPC[[#This Row],[exchange_rate_usd]]</f>
        <v>69052.126661334914</v>
      </c>
      <c r="S21" s="24">
        <f>(Data_SPC[[#This Row],[equity_local]]+939812592)/2</f>
        <v>960709857.5</v>
      </c>
      <c r="T21" s="24">
        <f>Data_SPC[[#This Row],[avg_equity_local]]/Data_SPC[[#This Row],[exchange_rate_usd]]</f>
        <v>67582.087793064042</v>
      </c>
      <c r="U21" s="24">
        <v>366972007</v>
      </c>
      <c r="V21" s="24">
        <f>Data_SPC[[#This Row],[revenue_local]]/Data_SPC[[#This Row],[exchange_rate_usd]]</f>
        <v>25815.009808693372</v>
      </c>
      <c r="W21" s="24">
        <v>43852882</v>
      </c>
      <c r="X21" s="24">
        <f>Data_SPC[[#This Row],[ebit_local]]/Data_SPC[[#This Row],[exchange_rate_usd]]</f>
        <v>3084.8744791846566</v>
      </c>
      <c r="Y21" s="24">
        <v>13174877</v>
      </c>
      <c r="Z21" s="24">
        <f>Data_SPC[[#This Row],[net_profit_local]]/Data_SPC[[#This Row],[exchange_rate_usd]]</f>
        <v>926.79978989059168</v>
      </c>
      <c r="AA21" s="24">
        <v>37182580</v>
      </c>
      <c r="AB21" s="24">
        <f>Data_SPC[[#This Row],[ci_local]]/Data_SPC[[#This Row],[exchange_rate_usd]]</f>
        <v>2615.6454691448062</v>
      </c>
      <c r="AC21" s="24">
        <f>Data_SPC[[#This Row],[liability_local]]/Data_SPC[[#This Row],[asset_local]]*100</f>
        <v>39.152175187084751</v>
      </c>
      <c r="AD21" s="24">
        <f>Data_SPC[[#This Row],[ebit_local]]/Data_SPC[[#This Row],[revenue_local]]*100</f>
        <v>11.949925651958516</v>
      </c>
      <c r="AE21" s="24">
        <f>Data_SPC[[#This Row],[net_profit_local]]/Data_SPC[[#This Row],[avg_equity_local]]*100</f>
        <v>1.3713689827524227</v>
      </c>
      <c r="AF21" s="24">
        <f>Data_SPC[[#This Row],[net_profit_local]]/Data_SPC[[#This Row],[avg_asset_local]]*100</f>
        <v>0.82288177940652851</v>
      </c>
      <c r="AG21" s="24" t="s">
        <v>172</v>
      </c>
      <c r="AH21" s="24">
        <v>44.464750000000002</v>
      </c>
      <c r="AI21" s="24">
        <f>SUM(Data_SPC[[#This Row],[ic_oil]:[ic_coal]])</f>
        <v>40.275449999999992</v>
      </c>
      <c r="AJ21" s="24">
        <v>3.53261</v>
      </c>
      <c r="AK21" s="24">
        <v>16.377839999999999</v>
      </c>
      <c r="AL21" s="24">
        <v>20.364999999999998</v>
      </c>
      <c r="AM21" s="24">
        <v>0</v>
      </c>
      <c r="AN21" s="24">
        <f>SUM(Data_SPC[[#This Row],[ic_h2o]:[ic_other_re]])</f>
        <v>4.1059900000000003</v>
      </c>
      <c r="AO21" s="24">
        <v>3.5044200000000001</v>
      </c>
      <c r="AQ21" s="24">
        <v>2.1340000000000001E-2</v>
      </c>
      <c r="AR21" s="24">
        <f>0.57926+0.00097</f>
        <v>0.58023000000000002</v>
      </c>
      <c r="AT21" s="44">
        <f>Data_SPC[[#This Row],[ic_total]]/Data_country!AC9*100</f>
        <v>56.199127906976742</v>
      </c>
      <c r="AU21" s="44">
        <f>Data_SPC[[#This Row],[ic_fossil]]/Data_country!AD9*100</f>
        <v>59.596700207161867</v>
      </c>
      <c r="AV21" s="44">
        <f>Data_SPC[[#This Row],[ic_fossil]]/Data_SPC[[#This Row],[ic_total]]*100</f>
        <v>90.578379502864607</v>
      </c>
      <c r="AW21" s="44">
        <f>Data_SPC[[#This Row],[ic_oil]]/Data_SPC[[#This Row],[ic_total]]*100</f>
        <v>7.9447427456580773</v>
      </c>
      <c r="AX21" s="44">
        <f>Data_SPC[[#This Row],[ic_gas]]/Data_SPC[[#This Row],[ic_total]]*100</f>
        <v>36.833311780680198</v>
      </c>
      <c r="AY21" s="44">
        <f>Data_SPC[[#This Row],[ic_coal]]/Data_SPC[[#This Row],[ic_total]]*100</f>
        <v>45.800324976526348</v>
      </c>
      <c r="AZ21" s="44">
        <f>Data_SPC[[#This Row],[ic_nuc]]/Data_SPC[[#This Row],[ic_total]]*100</f>
        <v>0</v>
      </c>
      <c r="BA21" s="44">
        <f>Data_SPC[[#This Row],[ic_re]]/Data_country!AI9*100</f>
        <v>35.580502599653386</v>
      </c>
      <c r="BB21" s="44">
        <f>Data_SPC[[#This Row],[ic_re]]/Data_SPC[[#This Row],[ic_total]]*100</f>
        <v>9.2342585981029917</v>
      </c>
      <c r="BC21" s="44">
        <f>Data_SPC[[#This Row],[ic_h2o]]/Data_SPC[[#This Row],[ic_total]]*100</f>
        <v>7.8813442108636611</v>
      </c>
      <c r="BD21" s="44">
        <f>Data_SPC[[#This Row],[ic_wind]]/Data_SPC[[#This Row],[ic_total]]*100</f>
        <v>0</v>
      </c>
      <c r="BE21" s="44">
        <f>Data_SPC[[#This Row],[ic_solar]]/Data_SPC[[#This Row],[ic_total]]*100</f>
        <v>4.7993073164697878E-2</v>
      </c>
      <c r="BF21" s="44">
        <f>Data_SPC[[#This Row],[ic_other_re]]/Data_SPC[[#This Row],[ic_total]]*100</f>
        <v>1.3049213140746321</v>
      </c>
      <c r="BG21" s="44">
        <f>Data_SPC[[#This Row],[ic_other]]/Data_SPC[[#This Row],[ic_total]]*100</f>
        <v>0</v>
      </c>
      <c r="BH21" s="24">
        <v>177.48500000000001</v>
      </c>
      <c r="BI21" s="24">
        <f>SUM(Data_SPC[[#This Row],[gen_oil]:[gen_coal]])</f>
        <v>161.39375999999999</v>
      </c>
      <c r="BJ21" s="24">
        <v>3.1047199999999999</v>
      </c>
      <c r="BK21" s="24">
        <f>2.77566+33.02512+7.96977</f>
        <v>43.77055</v>
      </c>
      <c r="BL21" s="24">
        <v>114.51849</v>
      </c>
      <c r="BM21" s="24">
        <v>0</v>
      </c>
      <c r="BN21" s="24">
        <f>SUM(Data_SPC[[#This Row],[gen_h2o]:[gen_other_re]])</f>
        <v>16.095100000000002</v>
      </c>
      <c r="BO21" s="24">
        <v>11.869300000000001</v>
      </c>
      <c r="BP21" s="24">
        <v>0</v>
      </c>
      <c r="BQ21" s="24">
        <f>(9.09/1000)</f>
        <v>9.0899999999999991E-3</v>
      </c>
      <c r="BR21" s="24">
        <v>4.21671</v>
      </c>
      <c r="BS21" s="24">
        <v>0</v>
      </c>
      <c r="BT21" s="44">
        <f>Data_SPC[[#This Row],[gen_total]]/Data_country!AZ9*100</f>
        <v>57.371670545642615</v>
      </c>
      <c r="BU21" s="44">
        <f>Data_SPC[[#This Row],[gen_fossil]]/Data_country!BA9*100</f>
        <v>63.75168273028914</v>
      </c>
      <c r="BV21" s="44">
        <f>Data_SPC[[#This Row],[gen_fossil]]/Data_SPC[[#This Row],[gen_total]]*100</f>
        <v>90.933746513789885</v>
      </c>
      <c r="BW21" s="44">
        <f>Data_SPC[[#This Row],[gen_oil]]/Data_SPC[[#This Row],[gen_total]]*100</f>
        <v>1.749285855142688</v>
      </c>
      <c r="BX21" s="44">
        <f>Data_SPC[[#This Row],[gen_gas]]/Data_SPC[[#This Row],[gen_total]]*100</f>
        <v>24.661548863284217</v>
      </c>
      <c r="BY21" s="44">
        <f>Data_SPC[[#This Row],[gen_coal]]/Data_SPC[[#This Row],[gen_total]]*100</f>
        <v>64.522911795362987</v>
      </c>
      <c r="BZ21" s="44">
        <f>Data_SPC[[#This Row],[gen_nuc]]/Data_SPC[[#This Row],[gen_total]]*100</f>
        <v>0</v>
      </c>
      <c r="CA21" s="44">
        <f>Data_SPC[[#This Row],[gen_re]]/Data_country!BF9*100</f>
        <v>28.638967971530249</v>
      </c>
      <c r="CB21" s="44">
        <f>Data_SPC[[#This Row],[gen_re]]/Data_SPC[[#This Row],[gen_total]]*100</f>
        <v>9.0684283178860188</v>
      </c>
      <c r="CC21" s="44">
        <f>Data_SPC[[#This Row],[gen_h2o]]/Data_SPC[[#This Row],[gen_total]]*100</f>
        <v>6.6874947178634816</v>
      </c>
      <c r="CD21" s="44">
        <f>Data_SPC[[#This Row],[gen_wind]]/Data_SPC[[#This Row],[gen_total]]*100</f>
        <v>0</v>
      </c>
      <c r="CE21" s="44">
        <f>Data_SPC[[#This Row],[gen_solar]]/Data_SPC[[#This Row],[gen_total]]*100</f>
        <v>5.1215595684142318E-3</v>
      </c>
      <c r="CF21" s="44">
        <f>Data_SPC[[#This Row],[gen_other_re]]/Data_SPC[[#This Row],[gen_total]]*100</f>
        <v>2.3758120404541225</v>
      </c>
      <c r="CG21" s="44">
        <f>Data_SPC[[#This Row],[gen_other]]/Data_SPC[[#This Row],[gen_total]]*100</f>
        <v>0</v>
      </c>
    </row>
    <row r="22" spans="1:85" ht="25.4" customHeight="1" x14ac:dyDescent="0.25">
      <c r="A22" s="42" t="s">
        <v>318</v>
      </c>
      <c r="B22" s="42" t="s">
        <v>335</v>
      </c>
      <c r="C22" s="42" t="s">
        <v>49</v>
      </c>
      <c r="D22" s="23">
        <v>2022</v>
      </c>
      <c r="E22" s="23" t="b">
        <v>1</v>
      </c>
      <c r="F22" s="23" t="b">
        <v>1</v>
      </c>
      <c r="G22" s="23" t="b">
        <v>1</v>
      </c>
      <c r="H22" s="23" t="b">
        <v>1</v>
      </c>
      <c r="I22" s="43">
        <v>51477</v>
      </c>
      <c r="J22" s="24">
        <v>15488.299000000001</v>
      </c>
      <c r="K22" s="24">
        <v>1638139276</v>
      </c>
      <c r="L22" s="24">
        <f>Data_SPC[[#This Row],[asset_local]]/Data_SPC[[#This Row],[exchange_rate_usd]]</f>
        <v>105766.24818516223</v>
      </c>
      <c r="M22" s="24">
        <f>(Data_SPC[[#This Row],[asset_local]]+K21)/2</f>
        <v>1625677866</v>
      </c>
      <c r="N22" s="24">
        <f>Data_SPC[[#This Row],[avg_asset_local]]/Data_SPC[[#This Row],[exchange_rate_usd]]</f>
        <v>104961.67887771278</v>
      </c>
      <c r="O22" s="24">
        <v>646688710</v>
      </c>
      <c r="P22" s="24">
        <f>Data_SPC[[#This Row],[liability_local]]/Data_SPC[[#This Row],[exchange_rate_usd]]</f>
        <v>41753.37201328564</v>
      </c>
      <c r="Q22" s="24">
        <v>991450566</v>
      </c>
      <c r="R22" s="24">
        <f>Data_SPC[[#This Row],[equity_local]]/Data_SPC[[#This Row],[exchange_rate_usd]]</f>
        <v>64012.876171876582</v>
      </c>
      <c r="S22" s="24">
        <f>(Data_SPC[[#This Row],[equity_local]]+Q21)/2</f>
        <v>986528844.5</v>
      </c>
      <c r="T22" s="24">
        <f>Data_SPC[[#This Row],[avg_equity_local]]/Data_SPC[[#This Row],[exchange_rate_usd]]</f>
        <v>63695.105866693295</v>
      </c>
      <c r="U22" s="24">
        <v>441131943</v>
      </c>
      <c r="V22" s="24">
        <f>Data_SPC[[#This Row],[revenue_local]]/Data_SPC[[#This Row],[exchange_rate_usd]]</f>
        <v>28481.626226353197</v>
      </c>
      <c r="W22" s="24">
        <v>54938141</v>
      </c>
      <c r="X22" s="24">
        <f>Data_SPC[[#This Row],[ebit_local]]/Data_SPC[[#This Row],[exchange_rate_usd]]</f>
        <v>3547.0738910709301</v>
      </c>
      <c r="Y22" s="24">
        <v>14414720</v>
      </c>
      <c r="Z22" s="24">
        <f>Data_SPC[[#This Row],[net_profit_local]]/Data_SPC[[#This Row],[exchange_rate_usd]]</f>
        <v>930.68451222435715</v>
      </c>
      <c r="AA22" s="24">
        <v>5408362</v>
      </c>
      <c r="AB22" s="24">
        <f>Data_SPC[[#This Row],[ci_local]]/Data_SPC[[#This Row],[exchange_rate_usd]]</f>
        <v>349.19018544257182</v>
      </c>
      <c r="AC22" s="24">
        <f>Data_SPC[[#This Row],[liability_local]]/Data_SPC[[#This Row],[asset_local]]*100</f>
        <v>39.477028569822288</v>
      </c>
      <c r="AD22" s="24">
        <f>Data_SPC[[#This Row],[ebit_local]]/Data_SPC[[#This Row],[revenue_local]]*100</f>
        <v>12.453902255724882</v>
      </c>
      <c r="AE22" s="24">
        <f>Data_SPC[[#This Row],[net_profit_local]]/Data_SPC[[#This Row],[avg_equity_local]]*100</f>
        <v>1.4611554523077099</v>
      </c>
      <c r="AF22" s="24">
        <f>Data_SPC[[#This Row],[net_profit_local]]/Data_SPC[[#This Row],[avg_asset_local]]*100</f>
        <v>0.88668981115352163</v>
      </c>
      <c r="AG22" s="24" t="s">
        <v>172</v>
      </c>
      <c r="AH22" s="24">
        <v>44.939880000000002</v>
      </c>
      <c r="AI22" s="24">
        <f>SUM(Data_SPC[[#This Row],[ic_oil]:[ic_coal]])</f>
        <v>40.734020000000001</v>
      </c>
      <c r="AJ22" s="24">
        <v>3.5646200000000001</v>
      </c>
      <c r="AK22" s="24">
        <v>16.750900000000001</v>
      </c>
      <c r="AL22" s="24">
        <v>20.418500000000002</v>
      </c>
      <c r="AM22" s="24">
        <v>0</v>
      </c>
      <c r="AN22" s="24">
        <f>SUM(Data_SPC[[#This Row],[ic_h2o]:[ic_other_re]])</f>
        <v>4.2053399999999996</v>
      </c>
      <c r="AO22" s="24">
        <v>3.5969899999999999</v>
      </c>
      <c r="AQ22" s="24">
        <v>2.862E-2</v>
      </c>
      <c r="AR22" s="24">
        <f>0.57926+0.00047</f>
        <v>0.57972999999999997</v>
      </c>
      <c r="AT22" s="44">
        <f>Data_SPC[[#This Row],[ic_total]]/Data_country!AC10*100</f>
        <v>52.086091794158548</v>
      </c>
      <c r="AU22" s="44">
        <f>Data_SPC[[#This Row],[ic_fossil]]/Data_country!AD10*100</f>
        <v>55.277541050346045</v>
      </c>
      <c r="AV22" s="44">
        <f>Data_SPC[[#This Row],[ic_fossil]]/Data_SPC[[#This Row],[ic_total]]*100</f>
        <v>90.641141008832236</v>
      </c>
      <c r="AW22" s="44">
        <f>Data_SPC[[#This Row],[ic_oil]]/Data_SPC[[#This Row],[ic_total]]*100</f>
        <v>7.9319748962391534</v>
      </c>
      <c r="AX22" s="44">
        <f>Data_SPC[[#This Row],[ic_gas]]/Data_SPC[[#This Row],[ic_total]]*100</f>
        <v>37.274020313360872</v>
      </c>
      <c r="AY22" s="44">
        <f>Data_SPC[[#This Row],[ic_coal]]/Data_SPC[[#This Row],[ic_total]]*100</f>
        <v>45.435145799232217</v>
      </c>
      <c r="AZ22" s="44">
        <f>Data_SPC[[#This Row],[ic_nuc]]/Data_SPC[[#This Row],[ic_total]]*100</f>
        <v>0</v>
      </c>
      <c r="BA22" s="44">
        <f>Data_SPC[[#This Row],[ic_re]]/Data_country!AI10*100</f>
        <v>33.402223987291499</v>
      </c>
      <c r="BB22" s="44">
        <f>Data_SPC[[#This Row],[ic_re]]/Data_SPC[[#This Row],[ic_total]]*100</f>
        <v>9.3577018897246713</v>
      </c>
      <c r="BC22" s="44">
        <f>Data_SPC[[#This Row],[ic_h2o]]/Data_SPC[[#This Row],[ic_total]]*100</f>
        <v>8.0040044610711014</v>
      </c>
      <c r="BD22" s="44">
        <f>Data_SPC[[#This Row],[ic_wind]]/Data_SPC[[#This Row],[ic_total]]*100</f>
        <v>0</v>
      </c>
      <c r="BE22" s="44">
        <f>Data_SPC[[#This Row],[ic_solar]]/Data_SPC[[#This Row],[ic_total]]*100</f>
        <v>6.3685083271250387E-2</v>
      </c>
      <c r="BF22" s="44">
        <f>Data_SPC[[#This Row],[ic_other_re]]/Data_SPC[[#This Row],[ic_total]]*100</f>
        <v>1.2900123453823196</v>
      </c>
      <c r="BG22" s="44">
        <f>Data_SPC[[#This Row],[ic_other]]/Data_SPC[[#This Row],[ic_total]]*100</f>
        <v>0</v>
      </c>
      <c r="BH22" s="24">
        <v>179.49600000000001</v>
      </c>
      <c r="BI22" s="24">
        <f>SUM(Data_SPC[[#This Row],[gen_oil]:[gen_coal]])</f>
        <v>162.17323000000002</v>
      </c>
      <c r="BJ22" s="24">
        <v>3.20967</v>
      </c>
      <c r="BK22" s="24">
        <f>2.14576+32.94545+8.55626</f>
        <v>43.647470000000006</v>
      </c>
      <c r="BL22" s="24">
        <v>115.31609</v>
      </c>
      <c r="BM22" s="24">
        <v>0</v>
      </c>
      <c r="BN22" s="24">
        <f>SUM(Data_SPC[[#This Row],[gen_h2o]:[gen_other_re]])</f>
        <v>17.322290000000002</v>
      </c>
      <c r="BO22" s="24">
        <v>13.17501</v>
      </c>
      <c r="BP22" s="24">
        <v>0</v>
      </c>
      <c r="BQ22" s="24">
        <v>9.0900000000000009E-3</v>
      </c>
      <c r="BR22" s="24">
        <v>4.1381899999999998</v>
      </c>
      <c r="BS22" s="24">
        <v>0</v>
      </c>
      <c r="BT22" s="44">
        <f>Data_SPC[[#This Row],[gen_total]]/Data_country!AZ10*100</f>
        <v>53.815434430652999</v>
      </c>
      <c r="BU22" s="44">
        <f>Data_SPC[[#This Row],[gen_fossil]]/Data_country!BA10*100</f>
        <v>60.483060455749083</v>
      </c>
      <c r="BV22" s="44">
        <f>Data_SPC[[#This Row],[gen_fossil]]/Data_SPC[[#This Row],[gen_total]]*100</f>
        <v>90.349216695636684</v>
      </c>
      <c r="BW22" s="44">
        <f>Data_SPC[[#This Row],[gen_oil]]/Data_SPC[[#This Row],[gen_total]]*100</f>
        <v>1.788156839149619</v>
      </c>
      <c r="BX22" s="44">
        <f>Data_SPC[[#This Row],[gen_gas]]/Data_SPC[[#This Row],[gen_total]]*100</f>
        <v>24.316681151669119</v>
      </c>
      <c r="BY22" s="44">
        <f>Data_SPC[[#This Row],[gen_coal]]/Data_SPC[[#This Row],[gen_total]]*100</f>
        <v>64.244378704817933</v>
      </c>
      <c r="BZ22" s="44">
        <f>Data_SPC[[#This Row],[gen_nuc]]/Data_SPC[[#This Row],[gen_total]]*100</f>
        <v>0</v>
      </c>
      <c r="CA22" s="44">
        <f>Data_SPC[[#This Row],[gen_re]]/Data_country!BF10*100</f>
        <v>26.482632624980894</v>
      </c>
      <c r="CB22" s="44">
        <f>Data_SPC[[#This Row],[gen_re]]/Data_SPC[[#This Row],[gen_total]]*100</f>
        <v>9.6505158889334588</v>
      </c>
      <c r="CC22" s="44">
        <f>Data_SPC[[#This Row],[gen_h2o]]/Data_SPC[[#This Row],[gen_total]]*100</f>
        <v>7.340002005615724</v>
      </c>
      <c r="CD22" s="44">
        <f>Data_SPC[[#This Row],[gen_wind]]/Data_SPC[[#This Row],[gen_total]]*100</f>
        <v>0</v>
      </c>
      <c r="CE22" s="44">
        <f>Data_SPC[[#This Row],[gen_solar]]/Data_SPC[[#This Row],[gen_total]]*100</f>
        <v>5.0641797031688723E-3</v>
      </c>
      <c r="CF22" s="44">
        <f>Data_SPC[[#This Row],[gen_other_re]]/Data_SPC[[#This Row],[gen_total]]*100</f>
        <v>2.3054497036145651</v>
      </c>
      <c r="CG22" s="44">
        <f>Data_SPC[[#This Row],[gen_other]]/Data_SPC[[#This Row],[gen_total]]*100</f>
        <v>0</v>
      </c>
    </row>
    <row r="23" spans="1:85" ht="25.4" customHeight="1" x14ac:dyDescent="0.25">
      <c r="A23" s="42" t="s">
        <v>318</v>
      </c>
      <c r="B23" s="42" t="s">
        <v>335</v>
      </c>
      <c r="C23" s="42" t="s">
        <v>49</v>
      </c>
      <c r="D23" s="23">
        <v>2023</v>
      </c>
      <c r="E23" s="23" t="b">
        <v>1</v>
      </c>
      <c r="F23" s="23" t="b">
        <v>1</v>
      </c>
      <c r="G23" s="23" t="b">
        <v>1</v>
      </c>
      <c r="H23" s="23" t="b">
        <v>1</v>
      </c>
      <c r="I23" s="43">
        <v>51245</v>
      </c>
      <c r="J23" s="24">
        <v>15456.751</v>
      </c>
      <c r="K23" s="24">
        <v>1670639704</v>
      </c>
      <c r="L23" s="24">
        <f>Data_SPC[[#This Row],[asset_local]]/Data_SPC[[#This Row],[exchange_rate_usd]]</f>
        <v>108084.79116989074</v>
      </c>
      <c r="M23" s="24">
        <f>(Data_SPC[[#This Row],[asset_local]]+K22)/2</f>
        <v>1654389490</v>
      </c>
      <c r="N23" s="24">
        <f>Data_SPC[[#This Row],[avg_asset_local]]/Data_SPC[[#This Row],[exchange_rate_usd]]</f>
        <v>107033.4567723838</v>
      </c>
      <c r="O23" s="24">
        <v>655008305</v>
      </c>
      <c r="P23" s="24">
        <f>Data_SPC[[#This Row],[liability_local]]/Data_SPC[[#This Row],[exchange_rate_usd]]</f>
        <v>42376.842649532235</v>
      </c>
      <c r="Q23" s="24">
        <v>1015631399</v>
      </c>
      <c r="R23" s="24">
        <f>Data_SPC[[#This Row],[equity_local]]/Data_SPC[[#This Row],[exchange_rate_usd]]</f>
        <v>65707.948520358521</v>
      </c>
      <c r="S23" s="24">
        <f>(Data_SPC[[#This Row],[equity_local]]+Q22)/2</f>
        <v>1003540982.5</v>
      </c>
      <c r="T23" s="24">
        <f>Data_SPC[[#This Row],[avg_equity_local]]/Data_SPC[[#This Row],[exchange_rate_usd]]</f>
        <v>64925.739083200599</v>
      </c>
      <c r="U23" s="24">
        <v>487384064</v>
      </c>
      <c r="V23" s="24">
        <f>Data_SPC[[#This Row],[revenue_local]]/Data_SPC[[#This Row],[exchange_rate_usd]]</f>
        <v>31532.115901977071</v>
      </c>
      <c r="W23" s="24">
        <v>47200074</v>
      </c>
      <c r="X23" s="24">
        <f>Data_SPC[[#This Row],[ebit_local]]/Data_SPC[[#This Row],[exchange_rate_usd]]</f>
        <v>3053.686638285109</v>
      </c>
      <c r="Y23" s="24">
        <v>22071458</v>
      </c>
      <c r="Z23" s="24">
        <f>Data_SPC[[#This Row],[net_profit_local]]/Data_SPC[[#This Row],[exchange_rate_usd]]</f>
        <v>1427.9493795300189</v>
      </c>
      <c r="AA23" s="24">
        <v>26368833</v>
      </c>
      <c r="AB23" s="24">
        <f>Data_SPC[[#This Row],[ci_local]]/Data_SPC[[#This Row],[exchange_rate_usd]]</f>
        <v>1705.9751431591283</v>
      </c>
      <c r="AC23" s="24">
        <f>Data_SPC[[#This Row],[liability_local]]/Data_SPC[[#This Row],[asset_local]]*100</f>
        <v>39.207035690084382</v>
      </c>
      <c r="AD23" s="24">
        <f>Data_SPC[[#This Row],[ebit_local]]/Data_SPC[[#This Row],[revenue_local]]*100</f>
        <v>9.6843695734787101</v>
      </c>
      <c r="AE23" s="24">
        <f>Data_SPC[[#This Row],[net_profit_local]]/Data_SPC[[#This Row],[avg_equity_local]]*100</f>
        <v>2.1993579121219398</v>
      </c>
      <c r="AF23" s="24">
        <f>Data_SPC[[#This Row],[net_profit_local]]/Data_SPC[[#This Row],[avg_asset_local]]*100</f>
        <v>1.3341149791757925</v>
      </c>
      <c r="AG23" s="24" t="s">
        <v>172</v>
      </c>
      <c r="AH23" s="24">
        <v>45.095190000000002</v>
      </c>
      <c r="AI23" s="24">
        <f>SUM(Data_SPC[[#This Row],[ic_oil]:[ic_coal]])</f>
        <v>41.885490000000004</v>
      </c>
      <c r="AJ23" s="24">
        <v>3.52121</v>
      </c>
      <c r="AK23" s="24">
        <v>17.924379999999999</v>
      </c>
      <c r="AL23" s="24">
        <v>20.439900000000002</v>
      </c>
      <c r="AM23" s="24">
        <v>0</v>
      </c>
      <c r="AN23" s="24">
        <f>SUM(Data_SPC[[#This Row],[ic_h2o]:[ic_other_re]])</f>
        <v>4.2096999999999998</v>
      </c>
      <c r="AO23" s="24">
        <v>3.5971199999999999</v>
      </c>
      <c r="AQ23" s="24">
        <v>3.2329999999999998E-2</v>
      </c>
      <c r="AR23" s="24">
        <f>0.57926+0.00099</f>
        <v>0.58025000000000004</v>
      </c>
      <c r="AT23" s="44">
        <f>Data_SPC[[#This Row],[ic_total]]/Data_country!AC11*100</f>
        <v>48.625393573431097</v>
      </c>
      <c r="AU23" s="44">
        <f>Data_SPC[[#This Row],[ic_fossil]]/Data_country!AD11*100</f>
        <v>52.593533400301361</v>
      </c>
      <c r="AV23" s="44">
        <f>Data_SPC[[#This Row],[ic_fossil]]/Data_SPC[[#This Row],[ic_total]]*100</f>
        <v>92.882389452178828</v>
      </c>
      <c r="AW23" s="44">
        <f>Data_SPC[[#This Row],[ic_oil]]/Data_SPC[[#This Row],[ic_total]]*100</f>
        <v>7.8083937555202665</v>
      </c>
      <c r="AX23" s="44">
        <f>Data_SPC[[#This Row],[ic_gas]]/Data_SPC[[#This Row],[ic_total]]*100</f>
        <v>39.747875549476561</v>
      </c>
      <c r="AY23" s="44">
        <f>Data_SPC[[#This Row],[ic_coal]]/Data_SPC[[#This Row],[ic_total]]*100</f>
        <v>45.326120147181996</v>
      </c>
      <c r="AZ23" s="44">
        <f>Data_SPC[[#This Row],[ic_nuc]]/Data_SPC[[#This Row],[ic_total]]*100</f>
        <v>0</v>
      </c>
      <c r="BA23" s="44">
        <f>Data_SPC[[#This Row],[ic_re]]/Data_country!AI11*100</f>
        <v>32.135114503816794</v>
      </c>
      <c r="BB23" s="44">
        <f>Data_SPC[[#This Row],[ic_re]]/Data_SPC[[#This Row],[ic_total]]*100</f>
        <v>9.335141951946536</v>
      </c>
      <c r="BC23" s="44">
        <f>Data_SPC[[#This Row],[ic_h2o]]/Data_SPC[[#This Row],[ic_total]]*100</f>
        <v>7.9767265644074232</v>
      </c>
      <c r="BD23" s="44">
        <f>Data_SPC[[#This Row],[ic_wind]]/Data_SPC[[#This Row],[ic_total]]*100</f>
        <v>0</v>
      </c>
      <c r="BE23" s="44">
        <f>Data_SPC[[#This Row],[ic_solar]]/Data_SPC[[#This Row],[ic_total]]*100</f>
        <v>7.1692790295372955E-2</v>
      </c>
      <c r="BF23" s="44">
        <f>Data_SPC[[#This Row],[ic_other_re]]/Data_SPC[[#This Row],[ic_total]]*100</f>
        <v>1.2867225972437415</v>
      </c>
      <c r="BG23" s="44">
        <f>Data_SPC[[#This Row],[ic_other]]/Data_SPC[[#This Row],[ic_total]]*100</f>
        <v>0</v>
      </c>
      <c r="BH23" s="24">
        <v>179.60499999999999</v>
      </c>
      <c r="BI23" s="24">
        <f>SUM(Data_SPC[[#This Row],[gen_oil]:[gen_coal]])</f>
        <v>164.62708000000001</v>
      </c>
      <c r="BJ23" s="24">
        <v>3.4072900000000002</v>
      </c>
      <c r="BK23" s="24">
        <f>1.65205+36.72623+8.24296</f>
        <v>46.62124</v>
      </c>
      <c r="BL23" s="24">
        <v>114.59855</v>
      </c>
      <c r="BM23" s="24">
        <v>0</v>
      </c>
      <c r="BN23" s="24">
        <f>SUM(Data_SPC[[#This Row],[gen_h2o]:[gen_other_re]])</f>
        <v>14.97842</v>
      </c>
      <c r="BO23" s="24">
        <v>10.65507</v>
      </c>
      <c r="BP23" s="24">
        <v>0</v>
      </c>
      <c r="BQ23" s="24">
        <v>1.2840000000000001E-2</v>
      </c>
      <c r="BR23" s="24">
        <f>4.3105+0.00001</f>
        <v>4.3105099999999998</v>
      </c>
      <c r="BS23" s="24">
        <v>0</v>
      </c>
      <c r="BT23" s="44">
        <f>Data_SPC[[#This Row],[gen_total]]/Data_country!AZ11*100</f>
        <v>51.227895037079286</v>
      </c>
      <c r="BU23" s="44">
        <f>Data_SPC[[#This Row],[gen_fossil]]/Data_country!BA11*100</f>
        <v>57.682929222144367</v>
      </c>
      <c r="BV23" s="44">
        <f>Data_SPC[[#This Row],[gen_fossil]]/Data_SPC[[#This Row],[gen_total]]*100</f>
        <v>91.660633055872623</v>
      </c>
      <c r="BW23" s="44">
        <f>Data_SPC[[#This Row],[gen_oil]]/Data_SPC[[#This Row],[gen_total]]*100</f>
        <v>1.8971019737757859</v>
      </c>
      <c r="BX23" s="44">
        <f>Data_SPC[[#This Row],[gen_gas]]/Data_SPC[[#This Row],[gen_total]]*100</f>
        <v>25.957651513042514</v>
      </c>
      <c r="BY23" s="44">
        <f>Data_SPC[[#This Row],[gen_coal]]/Data_SPC[[#This Row],[gen_total]]*100</f>
        <v>63.805879569054312</v>
      </c>
      <c r="BZ23" s="44">
        <f>Data_SPC[[#This Row],[gen_nuc]]/Data_SPC[[#This Row],[gen_total]]*100</f>
        <v>0</v>
      </c>
      <c r="CA23" s="44">
        <f>Data_SPC[[#This Row],[gen_re]]/Data_country!BF11*100</f>
        <v>22.973036809815952</v>
      </c>
      <c r="CB23" s="44">
        <f>Data_SPC[[#This Row],[gen_re]]/Data_SPC[[#This Row],[gen_total]]*100</f>
        <v>8.3396453328136744</v>
      </c>
      <c r="CC23" s="44">
        <f>Data_SPC[[#This Row],[gen_h2o]]/Data_SPC[[#This Row],[gen_total]]*100</f>
        <v>5.9325018791236328</v>
      </c>
      <c r="CD23" s="44">
        <f>Data_SPC[[#This Row],[gen_wind]]/Data_SPC[[#This Row],[gen_total]]*100</f>
        <v>0</v>
      </c>
      <c r="CE23" s="44">
        <f>Data_SPC[[#This Row],[gen_solar]]/Data_SPC[[#This Row],[gen_total]]*100</f>
        <v>7.1490214637677137E-3</v>
      </c>
      <c r="CF23" s="44">
        <f>Data_SPC[[#This Row],[gen_other_re]]/Data_SPC[[#This Row],[gen_total]]*100</f>
        <v>2.3999944322262743</v>
      </c>
      <c r="CG23" s="44">
        <f>Data_SPC[[#This Row],[gen_other]]/Data_SPC[[#This Row],[gen_total]]*100</f>
        <v>0</v>
      </c>
    </row>
    <row r="24" spans="1:85" s="42" customFormat="1" ht="25.4" customHeight="1" x14ac:dyDescent="0.25">
      <c r="A24" s="42" t="s">
        <v>319</v>
      </c>
      <c r="B24" s="42" t="s">
        <v>336</v>
      </c>
      <c r="C24" s="42" t="s">
        <v>53</v>
      </c>
      <c r="D24" s="23">
        <v>2021</v>
      </c>
      <c r="E24" s="23" t="b">
        <v>1</v>
      </c>
      <c r="F24" s="23" t="b">
        <v>1</v>
      </c>
      <c r="G24" s="23" t="b">
        <v>1</v>
      </c>
      <c r="H24" s="23" t="b">
        <v>1</v>
      </c>
      <c r="I24" s="43">
        <v>91738</v>
      </c>
      <c r="J24" s="24">
        <v>20.434000000000001</v>
      </c>
      <c r="K24" s="24">
        <v>2266348.5040000002</v>
      </c>
      <c r="L24" s="24">
        <f>Data_SPC[[#This Row],[asset_local]]/Data_SPC[[#This Row],[exchange_rate_usd]]</f>
        <v>110910.66379563473</v>
      </c>
      <c r="M24" s="24">
        <f>(Data_SPC[[#This Row],[asset_local]]+2160319.999)/2</f>
        <v>2213334.2515000002</v>
      </c>
      <c r="N24" s="24">
        <f>Data_SPC[[#This Row],[avg_asset_local]]/Data_SPC[[#This Row],[exchange_rate_usd]]</f>
        <v>108316.24995106197</v>
      </c>
      <c r="O24" s="24">
        <v>1565657.01</v>
      </c>
      <c r="P24" s="24">
        <f>Data_SPC[[#This Row],[liability_local]]/Data_SPC[[#This Row],[exchange_rate_usd]]</f>
        <v>76620.192326514632</v>
      </c>
      <c r="Q24" s="24">
        <v>700691.49399999995</v>
      </c>
      <c r="R24" s="24">
        <f>Data_SPC[[#This Row],[equity_local]]/Data_SPC[[#This Row],[exchange_rate_usd]]</f>
        <v>34290.471469120086</v>
      </c>
      <c r="S24" s="24">
        <f>(Data_SPC[[#This Row],[equity_local]]+559136.881+18176.499)/2</f>
        <v>639002.43700000003</v>
      </c>
      <c r="T24" s="24">
        <f>Data_SPC[[#This Row],[avg_equity_local]]/Data_SPC[[#This Row],[exchange_rate_usd]]</f>
        <v>31271.529656454928</v>
      </c>
      <c r="U24" s="24">
        <v>566686.66700000002</v>
      </c>
      <c r="V24" s="24">
        <f>Data_SPC[[#This Row],[revenue_local]]/Data_SPC[[#This Row],[exchange_rate_usd]]</f>
        <v>27732.53729078986</v>
      </c>
      <c r="W24" s="24">
        <v>-35460.970999999998</v>
      </c>
      <c r="X24" s="24">
        <f>Data_SPC[[#This Row],[ebit_local]]/Data_SPC[[#This Row],[exchange_rate_usd]]</f>
        <v>-1735.3905745326415</v>
      </c>
      <c r="Y24" s="24">
        <v>-106260.061</v>
      </c>
      <c r="Z24" s="24">
        <f>Data_SPC[[#This Row],[net_profit_local]]/Data_SPC[[#This Row],[exchange_rate_usd]]</f>
        <v>-5200.1595869629045</v>
      </c>
      <c r="AA24" s="24">
        <v>125948.04700000001</v>
      </c>
      <c r="AB24" s="24">
        <f>Data_SPC[[#This Row],[ci_local]]/Data_SPC[[#This Row],[exchange_rate_usd]]</f>
        <v>6163.6511206812174</v>
      </c>
      <c r="AC24" s="24">
        <f>Data_SPC[[#This Row],[liability_local]]/Data_SPC[[#This Row],[asset_local]]*100</f>
        <v>69.082800250565526</v>
      </c>
      <c r="AD24" s="24">
        <f>Data_SPC[[#This Row],[ebit_local]]/Data_SPC[[#This Row],[revenue_local]]*100</f>
        <v>-6.2575975516995879</v>
      </c>
      <c r="AE24" s="24">
        <f>Data_SPC[[#This Row],[net_profit_local]]/Data_SPC[[#This Row],[avg_equity_local]]*100</f>
        <v>-16.629054107973612</v>
      </c>
      <c r="AF24" s="24">
        <f>Data_SPC[[#This Row],[net_profit_local]]/Data_SPC[[#This Row],[avg_asset_local]]*100</f>
        <v>-4.800904378901941</v>
      </c>
      <c r="AG24" s="24" t="s">
        <v>214</v>
      </c>
      <c r="AH24" s="24">
        <v>43.722900000000003</v>
      </c>
      <c r="AI24" s="24">
        <f>10.0476 +10.27153 +2.83643+0.36082+Data_SPC[[#This Row],[ic_coal]]</f>
        <v>28.97983</v>
      </c>
      <c r="AJ24" s="24"/>
      <c r="AK24" s="24"/>
      <c r="AL24" s="24">
        <v>5.4634499999999999</v>
      </c>
      <c r="AM24" s="24">
        <v>1.6080000000000001</v>
      </c>
      <c r="AN24" s="24">
        <f>SUM(Data_SPC[[#This Row],[ic_h2o]:[ic_other_re]])</f>
        <v>13.747990000000001</v>
      </c>
      <c r="AO24" s="24">
        <v>12.125360000000001</v>
      </c>
      <c r="AP24" s="24">
        <f>0.0857+0.61285</f>
        <v>0.69855</v>
      </c>
      <c r="AQ24" s="24">
        <v>6.0000000000000001E-3</v>
      </c>
      <c r="AR24" s="24">
        <v>0.91808000000000001</v>
      </c>
      <c r="AS24" s="24">
        <v>0</v>
      </c>
      <c r="AT24" s="44">
        <f>Data_SPC[[#This Row],[ic_total]]/Data_country!AC12*100</f>
        <v>41.700429184549357</v>
      </c>
      <c r="AU24" s="44">
        <f>Data_SPC[[#This Row],[ic_fossil]]/Data_country!AD12*100</f>
        <v>39.305343822053437</v>
      </c>
      <c r="AV24" s="44">
        <f>Data_SPC[[#This Row],[ic_fossil]]/Data_SPC[[#This Row],[ic_total]]*100</f>
        <v>66.280667567796286</v>
      </c>
      <c r="AW24" s="44"/>
      <c r="AX24" s="44"/>
      <c r="AY24" s="44">
        <f>Data_SPC[[#This Row],[ic_coal]]/Data_SPC[[#This Row],[ic_total]]*100</f>
        <v>12.495625861962495</v>
      </c>
      <c r="AZ24" s="44">
        <f>Data_SPC[[#This Row],[ic_nuc]]/Data_SPC[[#This Row],[ic_total]]*100</f>
        <v>3.677706648003678</v>
      </c>
      <c r="BA24" s="44">
        <f>Data_SPC[[#This Row],[ic_re]]/Data_country!AI12*100</f>
        <v>46.587563537783808</v>
      </c>
      <c r="BB24" s="44">
        <f>Data_SPC[[#This Row],[ic_re]]/Data_SPC[[#This Row],[ic_total]]*100</f>
        <v>31.443454116721448</v>
      </c>
      <c r="BC24" s="44">
        <f>Data_SPC[[#This Row],[ic_h2o]]/Data_SPC[[#This Row],[ic_total]]*100</f>
        <v>27.732286742187735</v>
      </c>
      <c r="BD24" s="44">
        <f>Data_SPC[[#This Row],[ic_wind]]/Data_SPC[[#This Row],[ic_total]]*100</f>
        <v>1.5976753600515976</v>
      </c>
      <c r="BE24" s="44">
        <f>Data_SPC[[#This Row],[ic_solar]]/Data_SPC[[#This Row],[ic_total]]*100</f>
        <v>1.3722786000013722E-2</v>
      </c>
      <c r="BF24" s="44">
        <f>Data_SPC[[#This Row],[ic_other_re]]/Data_SPC[[#This Row],[ic_total]]*100</f>
        <v>2.0997692284820997</v>
      </c>
      <c r="BG24" s="44">
        <f>Data_SPC[[#This Row],[ic_other]]/Data_SPC[[#This Row],[ic_total]]*100</f>
        <v>0</v>
      </c>
      <c r="BH24" s="24">
        <v>130.29900000000001</v>
      </c>
      <c r="BI24" s="24">
        <f>15.401+6.661+0.668+3.309+6.016+2.744+4.552+3.811+15.567+1.564+1.342+5.866+2.53+0.415+2.429+0.014+0.183+4.084+Data_SPC[[#This Row],[gen_coal]]</f>
        <v>82.012000000000015</v>
      </c>
      <c r="BJ24" s="24"/>
      <c r="BK24" s="24"/>
      <c r="BL24" s="24">
        <f>4.856</f>
        <v>4.8559999999999999</v>
      </c>
      <c r="BM24" s="24">
        <v>11.9231</v>
      </c>
      <c r="BN24" s="24">
        <f>SUM(Data_SPC[[#This Row],[gen_h2o]:[gen_other_re]])</f>
        <v>37.63600000000001</v>
      </c>
      <c r="BO24" s="24">
        <f>7.882+6.921+1.824+0.083+16.428</f>
        <v>33.138000000000005</v>
      </c>
      <c r="BP24" s="24">
        <v>8.5000000000000006E-2</v>
      </c>
      <c r="BQ24" s="24">
        <v>8.0000000000000002E-3</v>
      </c>
      <c r="BR24" s="24">
        <f>1.371+2.554+0.48</f>
        <v>4.4049999999999994</v>
      </c>
      <c r="BS24" s="24">
        <v>0</v>
      </c>
      <c r="BT24" s="44">
        <f>Data_SPC[[#This Row],[gen_total]]/Data_country!AZ12*100</f>
        <v>39.484545454545454</v>
      </c>
      <c r="BU24" s="44">
        <f>Data_SPC[[#This Row],[gen_fossil]]/Data_country!BA12*100</f>
        <v>34.752320013559903</v>
      </c>
      <c r="BV24" s="44">
        <f>Data_SPC[[#This Row],[gen_fossil]]/Data_SPC[[#This Row],[gen_total]]*100</f>
        <v>62.941388652253671</v>
      </c>
      <c r="BW24" s="44"/>
      <c r="BX24" s="44"/>
      <c r="BY24" s="44">
        <f>Data_SPC[[#This Row],[gen_coal]]/Data_SPC[[#This Row],[gen_total]]*100</f>
        <v>3.726812945609713</v>
      </c>
      <c r="BZ24" s="44">
        <f>Data_SPC[[#This Row],[gen_nuc]]/Data_SPC[[#This Row],[gen_total]]*100</f>
        <v>9.1505690757411795</v>
      </c>
      <c r="CA24" s="44">
        <f>Data_SPC[[#This Row],[gen_re]]/Data_country!BF12*100</f>
        <v>45.84724083323183</v>
      </c>
      <c r="CB24" s="44">
        <f>Data_SPC[[#This Row],[gen_re]]/Data_SPC[[#This Row],[gen_total]]*100</f>
        <v>28.884335259671989</v>
      </c>
      <c r="CC24" s="44">
        <f>Data_SPC[[#This Row],[gen_h2o]]/Data_SPC[[#This Row],[gen_total]]*100</f>
        <v>25.432274998273208</v>
      </c>
      <c r="CD24" s="44">
        <f>Data_SPC[[#This Row],[gen_wind]]/Data_SPC[[#This Row],[gen_total]]*100</f>
        <v>6.5234575860137062E-2</v>
      </c>
      <c r="CE24" s="44">
        <f>Data_SPC[[#This Row],[gen_solar]]/Data_SPC[[#This Row],[gen_total]]*100</f>
        <v>6.1397247868364294E-3</v>
      </c>
      <c r="CF24" s="44">
        <f>Data_SPC[[#This Row],[gen_other_re]]/Data_SPC[[#This Row],[gen_total]]*100</f>
        <v>3.3806859607518085</v>
      </c>
      <c r="CG24" s="44">
        <f>Data_SPC[[#This Row],[gen_other]]/Data_SPC[[#This Row],[gen_total]]*100</f>
        <v>0</v>
      </c>
    </row>
    <row r="25" spans="1:85" s="42" customFormat="1" ht="25.4" customHeight="1" x14ac:dyDescent="0.25">
      <c r="A25" s="42" t="s">
        <v>319</v>
      </c>
      <c r="B25" s="42" t="s">
        <v>336</v>
      </c>
      <c r="C25" s="42" t="s">
        <v>53</v>
      </c>
      <c r="D25" s="23">
        <v>2022</v>
      </c>
      <c r="E25" s="23" t="b">
        <v>1</v>
      </c>
      <c r="F25" s="23" t="b">
        <v>1</v>
      </c>
      <c r="G25" s="23" t="b">
        <v>1</v>
      </c>
      <c r="H25" s="23" t="b">
        <v>1</v>
      </c>
      <c r="I25" s="43">
        <v>91824</v>
      </c>
      <c r="J25" s="24">
        <v>19.553999999999998</v>
      </c>
      <c r="K25" s="24">
        <v>2343824.7370000002</v>
      </c>
      <c r="L25" s="24">
        <f>Data_SPC[[#This Row],[asset_local]]/Data_SPC[[#This Row],[exchange_rate_usd]]</f>
        <v>119864.20870410147</v>
      </c>
      <c r="M25" s="24">
        <f>(Data_SPC[[#This Row],[asset_local]]+K24)/2</f>
        <v>2305086.6205000002</v>
      </c>
      <c r="N25" s="24">
        <f>Data_SPC[[#This Row],[avg_asset_local]]/Data_SPC[[#This Row],[exchange_rate_usd]]</f>
        <v>117883.12470594254</v>
      </c>
      <c r="O25" s="24">
        <v>1706515.9029999999</v>
      </c>
      <c r="P25" s="24">
        <f>Data_SPC[[#This Row],[liability_local]]/Data_SPC[[#This Row],[exchange_rate_usd]]</f>
        <v>87271.959854761182</v>
      </c>
      <c r="Q25" s="24">
        <v>637308.83400000003</v>
      </c>
      <c r="R25" s="24">
        <f>Data_SPC[[#This Row],[equity_local]]/Data_SPC[[#This Row],[exchange_rate_usd]]</f>
        <v>32592.248849340293</v>
      </c>
      <c r="S25" s="24">
        <f>(Data_SPC[[#This Row],[equity_local]]+Q24)/2</f>
        <v>669000.16399999999</v>
      </c>
      <c r="T25" s="24">
        <f>Data_SPC[[#This Row],[avg_equity_local]]/Data_SPC[[#This Row],[exchange_rate_usd]]</f>
        <v>34212.957144318301</v>
      </c>
      <c r="U25" s="24">
        <v>620847.72400000005</v>
      </c>
      <c r="V25" s="24">
        <f>Data_SPC[[#This Row],[revenue_local]]/Data_SPC[[#This Row],[exchange_rate_usd]]</f>
        <v>31750.420578909692</v>
      </c>
      <c r="W25" s="24">
        <v>9069.8160000000007</v>
      </c>
      <c r="X25" s="24">
        <f>Data_SPC[[#This Row],[ebit_local]]/Data_SPC[[#This Row],[exchange_rate_usd]]</f>
        <v>463.83430500153429</v>
      </c>
      <c r="Y25" s="24">
        <v>-15666.696</v>
      </c>
      <c r="Z25" s="24">
        <f>Data_SPC[[#This Row],[net_profit_local]]/Data_SPC[[#This Row],[exchange_rate_usd]]</f>
        <v>-801.20159558146679</v>
      </c>
      <c r="AA25" s="24">
        <v>-60588.315999999999</v>
      </c>
      <c r="AB25" s="24">
        <f>Data_SPC[[#This Row],[ci_local]]/Data_SPC[[#This Row],[exchange_rate_usd]]</f>
        <v>-3098.5126316866117</v>
      </c>
      <c r="AC25" s="24">
        <f>Data_SPC[[#This Row],[liability_local]]/Data_SPC[[#This Row],[asset_local]]*100</f>
        <v>72.809023476058641</v>
      </c>
      <c r="AD25" s="24">
        <f>Data_SPC[[#This Row],[ebit_local]]/Data_SPC[[#This Row],[revenue_local]]*100</f>
        <v>1.4608760972118824</v>
      </c>
      <c r="AE25" s="24">
        <f>Data_SPC[[#This Row],[net_profit_local]]/Data_SPC[[#This Row],[avg_equity_local]]*100</f>
        <v>-2.3418074976734986</v>
      </c>
      <c r="AF25" s="24">
        <f>Data_SPC[[#This Row],[net_profit_local]]/Data_SPC[[#This Row],[avg_asset_local]]*100</f>
        <v>-0.67965758252510744</v>
      </c>
      <c r="AG25" s="24" t="s">
        <v>214</v>
      </c>
      <c r="AH25" s="24">
        <v>44.073340000000002</v>
      </c>
      <c r="AI25" s="24">
        <f>9.7476+10.91238+2.95333+0.36244+Data_SPC[[#This Row],[ic_coal]]</f>
        <v>29.4392</v>
      </c>
      <c r="AJ25" s="24"/>
      <c r="AK25" s="24"/>
      <c r="AL25" s="24">
        <v>5.4634499999999999</v>
      </c>
      <c r="AM25" s="24">
        <v>1.6080000000000001</v>
      </c>
      <c r="AN25" s="24">
        <f>SUM(Data_SPC[[#This Row],[ic_h2o]:[ic_other_re]])</f>
        <v>13.79644</v>
      </c>
      <c r="AO25" s="24">
        <v>12.125360000000001</v>
      </c>
      <c r="AP25" s="24">
        <v>0.85699999999999998</v>
      </c>
      <c r="AQ25" s="24">
        <v>6.0000000000000001E-3</v>
      </c>
      <c r="AR25" s="24">
        <v>0.80808000000000002</v>
      </c>
      <c r="AS25" s="24">
        <v>0</v>
      </c>
      <c r="AT25" s="44">
        <f>Data_SPC[[#This Row],[ic_total]]/Data_country!AC13*100</f>
        <v>41.048095371146509</v>
      </c>
      <c r="AU25" s="44">
        <f>Data_SPC[[#This Row],[ic_fossil]]/Data_country!AD13*100</f>
        <v>39.299425977840073</v>
      </c>
      <c r="AV25" s="44">
        <f>Data_SPC[[#This Row],[ic_fossil]]/Data_SPC[[#This Row],[ic_total]]*100</f>
        <v>66.795936046598698</v>
      </c>
      <c r="AW25" s="44"/>
      <c r="AX25" s="44"/>
      <c r="AY25" s="44">
        <f>Data_SPC[[#This Row],[ic_coal]]/Data_SPC[[#This Row],[ic_total]]*100</f>
        <v>12.396269490807821</v>
      </c>
      <c r="AZ25" s="44">
        <f>Data_SPC[[#This Row],[ic_nuc]]/Data_SPC[[#This Row],[ic_total]]*100</f>
        <v>3.6484641282008581</v>
      </c>
      <c r="BA25" s="44">
        <f>Data_SPC[[#This Row],[ic_re]]/Data_country!AI13*100</f>
        <v>44.721037277147488</v>
      </c>
      <c r="BB25" s="44">
        <f>Data_SPC[[#This Row],[ic_re]]/Data_SPC[[#This Row],[ic_total]]*100</f>
        <v>31.303368430892693</v>
      </c>
      <c r="BC25" s="44">
        <f>Data_SPC[[#This Row],[ic_h2o]]/Data_SPC[[#This Row],[ic_total]]*100</f>
        <v>27.511779229801963</v>
      </c>
      <c r="BD25" s="44">
        <f>Data_SPC[[#This Row],[ic_wind]]/Data_SPC[[#This Row],[ic_total]]*100</f>
        <v>1.9444861678284422</v>
      </c>
      <c r="BE25" s="44">
        <f>Data_SPC[[#This Row],[ic_solar]]/Data_SPC[[#This Row],[ic_total]]*100</f>
        <v>1.3613672120152456E-2</v>
      </c>
      <c r="BF25" s="44">
        <f>Data_SPC[[#This Row],[ic_other_re]]/Data_SPC[[#This Row],[ic_total]]*100</f>
        <v>1.8334893611421326</v>
      </c>
      <c r="BG25" s="44">
        <f>Data_SPC[[#This Row],[ic_other]]/Data_SPC[[#This Row],[ic_total]]*100</f>
        <v>0</v>
      </c>
      <c r="BH25" s="24">
        <v>141.34299999999999</v>
      </c>
      <c r="BI25" s="24">
        <f>7.332+0.038+1.157+17.657+50.392+Data_SPC[[#This Row],[gen_coal]]</f>
        <v>91.762</v>
      </c>
      <c r="BJ25" s="24"/>
      <c r="BK25" s="24"/>
      <c r="BL25" s="24">
        <v>15.186</v>
      </c>
      <c r="BM25" s="24">
        <v>10.85</v>
      </c>
      <c r="BN25" s="24">
        <f>SUM(Data_SPC[[#This Row],[gen_h2o]:[gen_other_re]])</f>
        <v>38.729999999999997</v>
      </c>
      <c r="BO25" s="24">
        <v>34.11</v>
      </c>
      <c r="BP25" s="24">
        <v>7.0000000000000007E-2</v>
      </c>
      <c r="BQ25" s="24">
        <v>7.0000000000000001E-3</v>
      </c>
      <c r="BR25" s="24">
        <v>4.5430000000000001</v>
      </c>
      <c r="BS25" s="24">
        <v>0</v>
      </c>
      <c r="BT25" s="44">
        <f>Data_SPC[[#This Row],[gen_total]]/Data_country!AZ13*100</f>
        <v>41.553138321328824</v>
      </c>
      <c r="BU25" s="44">
        <f>Data_SPC[[#This Row],[gen_fossil]]/Data_country!BA13*100</f>
        <v>37.275866271275945</v>
      </c>
      <c r="BV25" s="44">
        <f>Data_SPC[[#This Row],[gen_fossil]]/Data_SPC[[#This Row],[gen_total]]*100</f>
        <v>64.921503010407307</v>
      </c>
      <c r="BW25" s="44"/>
      <c r="BX25" s="44"/>
      <c r="BY25" s="44">
        <f>Data_SPC[[#This Row],[gen_coal]]/Data_SPC[[#This Row],[gen_total]]*100</f>
        <v>10.744076466468096</v>
      </c>
      <c r="BZ25" s="44">
        <f>Data_SPC[[#This Row],[gen_nuc]]/Data_SPC[[#This Row],[gen_total]]*100</f>
        <v>7.6763617582759665</v>
      </c>
      <c r="CA25" s="44">
        <f>Data_SPC[[#This Row],[gen_re]]/Data_country!BF13*100</f>
        <v>46.589678816311796</v>
      </c>
      <c r="CB25" s="44">
        <f>Data_SPC[[#This Row],[gen_re]]/Data_SPC[[#This Row],[gen_total]]*100</f>
        <v>27.401427732537158</v>
      </c>
      <c r="CC25" s="44">
        <f>Data_SPC[[#This Row],[gen_h2o]]/Data_SPC[[#This Row],[gen_total]]*100</f>
        <v>24.132783370948687</v>
      </c>
      <c r="CD25" s="44">
        <f>Data_SPC[[#This Row],[gen_wind]]/Data_SPC[[#This Row],[gen_total]]*100</f>
        <v>4.9524914569522377E-2</v>
      </c>
      <c r="CE25" s="44">
        <f>Data_SPC[[#This Row],[gen_solar]]/Data_SPC[[#This Row],[gen_total]]*100</f>
        <v>4.9524914569522372E-3</v>
      </c>
      <c r="CF25" s="44">
        <f>Data_SPC[[#This Row],[gen_other_re]]/Data_SPC[[#This Row],[gen_total]]*100</f>
        <v>3.214166955562002</v>
      </c>
      <c r="CG25" s="44">
        <f>Data_SPC[[#This Row],[gen_other]]/Data_SPC[[#This Row],[gen_total]]*100</f>
        <v>0</v>
      </c>
    </row>
    <row r="26" spans="1:85" s="42" customFormat="1" ht="25.4" customHeight="1" x14ac:dyDescent="0.25">
      <c r="A26" s="42" t="s">
        <v>319</v>
      </c>
      <c r="B26" s="42" t="s">
        <v>336</v>
      </c>
      <c r="C26" s="42" t="s">
        <v>53</v>
      </c>
      <c r="D26" s="23">
        <v>2023</v>
      </c>
      <c r="E26" s="23" t="b">
        <v>1</v>
      </c>
      <c r="F26" s="23" t="b">
        <v>1</v>
      </c>
      <c r="G26" s="23" t="b">
        <v>1</v>
      </c>
      <c r="H26" s="23" t="b">
        <v>1</v>
      </c>
      <c r="I26" s="43">
        <v>92054</v>
      </c>
      <c r="J26" s="24">
        <v>16.943999999999999</v>
      </c>
      <c r="K26" s="24">
        <v>2325010</v>
      </c>
      <c r="L26" s="24">
        <f>Data_SPC[[#This Row],[asset_local]]/Data_SPC[[#This Row],[exchange_rate_usd]]</f>
        <v>137217.30406043437</v>
      </c>
      <c r="M26" s="24">
        <f>(Data_SPC[[#This Row],[asset_local]]+K25)/2</f>
        <v>2334417.3684999999</v>
      </c>
      <c r="N26" s="24">
        <f>Data_SPC[[#This Row],[avg_asset_local]]/Data_SPC[[#This Row],[exchange_rate_usd]]</f>
        <v>137772.50758380548</v>
      </c>
      <c r="O26" s="24">
        <v>1566447</v>
      </c>
      <c r="P26" s="24">
        <f>Data_SPC[[#This Row],[liability_local]]/Data_SPC[[#This Row],[exchange_rate_usd]]</f>
        <v>92448.477337110482</v>
      </c>
      <c r="Q26" s="24">
        <v>758563</v>
      </c>
      <c r="R26" s="24">
        <f>Data_SPC[[#This Row],[equity_local]]/Data_SPC[[#This Row],[exchange_rate_usd]]</f>
        <v>44768.826723323895</v>
      </c>
      <c r="S26" s="24">
        <f>(Data_SPC[[#This Row],[equity_local]]+Q25)/2</f>
        <v>697935.91700000002</v>
      </c>
      <c r="T26" s="24">
        <f>Data_SPC[[#This Row],[avg_equity_local]]/Data_SPC[[#This Row],[exchange_rate_usd]]</f>
        <v>41190.741088290844</v>
      </c>
      <c r="U26" s="24">
        <v>639844</v>
      </c>
      <c r="V26" s="24">
        <f>Data_SPC[[#This Row],[revenue_local]]/Data_SPC[[#This Row],[exchange_rate_usd]]</f>
        <v>37762.275731822476</v>
      </c>
      <c r="W26" s="24">
        <v>126260</v>
      </c>
      <c r="X26" s="24">
        <f>Data_SPC[[#This Row],[ebit_local]]/Data_SPC[[#This Row],[exchange_rate_usd]]</f>
        <v>7451.6052880075549</v>
      </c>
      <c r="Y26" s="24">
        <v>96192</v>
      </c>
      <c r="Z26" s="24">
        <f>Data_SPC[[#This Row],[net_profit_local]]/Data_SPC[[#This Row],[exchange_rate_usd]]</f>
        <v>5677.053824362607</v>
      </c>
      <c r="AA26" s="24">
        <v>113823.967</v>
      </c>
      <c r="AB26" s="24">
        <f>Data_SPC[[#This Row],[ci_local]]/Data_SPC[[#This Row],[exchange_rate_usd]]</f>
        <v>6717.6562204910297</v>
      </c>
      <c r="AC26" s="24">
        <f>Data_SPC[[#This Row],[liability_local]]/Data_SPC[[#This Row],[asset_local]]*100</f>
        <v>67.373774736452745</v>
      </c>
      <c r="AD26" s="24">
        <f>Data_SPC[[#This Row],[ebit_local]]/Data_SPC[[#This Row],[revenue_local]]*100</f>
        <v>19.73293490288258</v>
      </c>
      <c r="AE26" s="24">
        <f>Data_SPC[[#This Row],[net_profit_local]]/Data_SPC[[#This Row],[avg_equity_local]]*100</f>
        <v>13.782354175648479</v>
      </c>
      <c r="AF26" s="24">
        <f>Data_SPC[[#This Row],[net_profit_local]]/Data_SPC[[#This Row],[avg_asset_local]]*100</f>
        <v>4.1205999106239091</v>
      </c>
      <c r="AG26" s="24" t="s">
        <v>214</v>
      </c>
      <c r="AH26" s="24">
        <v>44.8461</v>
      </c>
      <c r="AI26" s="24">
        <f>9.7476+10.91238+2.942+1.0093+Data_SPC[[#This Row],[ic_coal]]</f>
        <v>30.074730000000002</v>
      </c>
      <c r="AJ26" s="24"/>
      <c r="AK26" s="24"/>
      <c r="AL26" s="24">
        <v>5.4634499999999999</v>
      </c>
      <c r="AM26" s="24">
        <v>1.6080000000000001</v>
      </c>
      <c r="AN26" s="24">
        <f>SUM(Data_SPC[[#This Row],[ic_h2o]:[ic_other_re]])</f>
        <v>14.234679999999999</v>
      </c>
      <c r="AO26" s="24">
        <v>12.4436</v>
      </c>
      <c r="AP26" s="24">
        <v>0.85699999999999998</v>
      </c>
      <c r="AQ26" s="24">
        <v>0.126</v>
      </c>
      <c r="AR26" s="24">
        <v>0.80808000000000002</v>
      </c>
      <c r="AS26" s="24">
        <v>0</v>
      </c>
      <c r="AT26" s="44">
        <f>Data_SPC[[#This Row],[ic_total]]/Data_country!AC14*100</f>
        <v>40.658295557570263</v>
      </c>
      <c r="AU26" s="44">
        <f>Data_SPC[[#This Row],[ic_fossil]]/Data_country!AD14*100</f>
        <v>39.431926052183044</v>
      </c>
      <c r="AV26" s="44">
        <f>Data_SPC[[#This Row],[ic_fossil]]/Data_SPC[[#This Row],[ic_total]]*100</f>
        <v>67.062085666312115</v>
      </c>
      <c r="AW26" s="44"/>
      <c r="AX26" s="44"/>
      <c r="AY26" s="44">
        <f>Data_SPC[[#This Row],[ic_coal]]/Data_SPC[[#This Row],[ic_total]]*100</f>
        <v>12.182664713319554</v>
      </c>
      <c r="AZ26" s="44">
        <f>Data_SPC[[#This Row],[ic_nuc]]/Data_SPC[[#This Row],[ic_total]]*100</f>
        <v>3.585596071899229</v>
      </c>
      <c r="BA26" s="44">
        <f>Data_SPC[[#This Row],[ic_re]]/Data_country!AI14*100</f>
        <v>43.90709438618137</v>
      </c>
      <c r="BB26" s="44">
        <f>Data_SPC[[#This Row],[ic_re]]/Data_SPC[[#This Row],[ic_total]]*100</f>
        <v>31.741177047725444</v>
      </c>
      <c r="BC26" s="44">
        <f>Data_SPC[[#This Row],[ic_h2o]]/Data_SPC[[#This Row],[ic_total]]*100</f>
        <v>27.747340348436094</v>
      </c>
      <c r="BD26" s="44">
        <f>Data_SPC[[#This Row],[ic_wind]]/Data_SPC[[#This Row],[ic_total]]*100</f>
        <v>1.91097999603087</v>
      </c>
      <c r="BE26" s="44">
        <f>Data_SPC[[#This Row],[ic_solar]]/Data_SPC[[#This Row],[ic_total]]*100</f>
        <v>0.28096088623090976</v>
      </c>
      <c r="BF26" s="44">
        <f>Data_SPC[[#This Row],[ic_other_re]]/Data_SPC[[#This Row],[ic_total]]*100</f>
        <v>1.8018958170275676</v>
      </c>
      <c r="BG26" s="44">
        <f>Data_SPC[[#This Row],[ic_other]]/Data_SPC[[#This Row],[ic_total]]*100</f>
        <v>0</v>
      </c>
      <c r="BH26" s="24">
        <v>150.46199999999999</v>
      </c>
      <c r="BI26" s="24">
        <f>8.168+0.124+2.657+29.336+58.234+Data_SPC[[#This Row],[gen_coal]]</f>
        <v>113.82600000000001</v>
      </c>
      <c r="BJ26" s="24"/>
      <c r="BK26" s="24"/>
      <c r="BL26" s="24">
        <v>15.307</v>
      </c>
      <c r="BM26" s="24">
        <v>12.385999999999999</v>
      </c>
      <c r="BN26" s="24">
        <f>SUM(Data_SPC[[#This Row],[gen_h2o]:[gen_other_re]])</f>
        <v>24.249000000000002</v>
      </c>
      <c r="BO26" s="24">
        <v>19.568000000000001</v>
      </c>
      <c r="BP26" s="24">
        <v>8.5999999999999993E-2</v>
      </c>
      <c r="BQ26" s="24">
        <v>0.27400000000000002</v>
      </c>
      <c r="BR26" s="24">
        <v>4.3209999999999997</v>
      </c>
      <c r="BS26" s="24">
        <v>0</v>
      </c>
      <c r="BT26" s="44">
        <f>Data_SPC[[#This Row],[gen_total]]/Data_country!AZ14*100</f>
        <v>42.400383249732279</v>
      </c>
      <c r="BU26" s="44">
        <f>Data_SPC[[#This Row],[gen_fossil]]/Data_country!BA14*100</f>
        <v>42.762792095574426</v>
      </c>
      <c r="BV26" s="44">
        <f>Data_SPC[[#This Row],[gen_fossil]]/Data_SPC[[#This Row],[gen_total]]*100</f>
        <v>75.650994935598376</v>
      </c>
      <c r="BW26" s="44"/>
      <c r="BX26" s="44"/>
      <c r="BY26" s="44">
        <f>Data_SPC[[#This Row],[gen_coal]]/Data_SPC[[#This Row],[gen_total]]*100</f>
        <v>10.173332801637622</v>
      </c>
      <c r="BZ26" s="44">
        <f>Data_SPC[[#This Row],[gen_nuc]]/Data_SPC[[#This Row],[gen_total]]*100</f>
        <v>8.2319788385107202</v>
      </c>
      <c r="CA26" s="44">
        <f>Data_SPC[[#This Row],[gen_re]]/Data_country!BF14*100</f>
        <v>31.785292961069604</v>
      </c>
      <c r="CB26" s="44">
        <f>Data_SPC[[#This Row],[gen_re]]/Data_SPC[[#This Row],[gen_total]]*100</f>
        <v>16.116361606252745</v>
      </c>
      <c r="CC26" s="44">
        <f>Data_SPC[[#This Row],[gen_h2o]]/Data_SPC[[#This Row],[gen_total]]*100</f>
        <v>13.005277079927161</v>
      </c>
      <c r="CD26" s="44">
        <f>Data_SPC[[#This Row],[gen_wind]]/Data_SPC[[#This Row],[gen_total]]*100</f>
        <v>5.7157288883571931E-2</v>
      </c>
      <c r="CE26" s="44">
        <f>Data_SPC[[#This Row],[gen_solar]]/Data_SPC[[#This Row],[gen_total]]*100</f>
        <v>0.18210578086161291</v>
      </c>
      <c r="CF26" s="44">
        <f>Data_SPC[[#This Row],[gen_other_re]]/Data_SPC[[#This Row],[gen_total]]*100</f>
        <v>2.871821456580399</v>
      </c>
      <c r="CG26" s="44">
        <f>Data_SPC[[#This Row],[gen_other]]/Data_SPC[[#This Row],[gen_total]]*100</f>
        <v>0</v>
      </c>
    </row>
    <row r="27" spans="1:85" s="42" customFormat="1" ht="25.4" customHeight="1" x14ac:dyDescent="0.25">
      <c r="A27" s="42" t="s">
        <v>320</v>
      </c>
      <c r="B27" s="42" t="s">
        <v>337</v>
      </c>
      <c r="C27" s="42" t="s">
        <v>51</v>
      </c>
      <c r="D27" s="23">
        <v>2021</v>
      </c>
      <c r="E27" s="23" t="b">
        <v>0</v>
      </c>
      <c r="F27" s="23" t="b">
        <v>1</v>
      </c>
      <c r="G27" s="23" t="b">
        <v>0</v>
      </c>
      <c r="H27" s="23" t="b">
        <v>1</v>
      </c>
      <c r="I27" s="43">
        <v>38001</v>
      </c>
      <c r="J27" s="24">
        <v>4.0590000000000002</v>
      </c>
      <c r="K27" s="24">
        <v>89274</v>
      </c>
      <c r="L27" s="24">
        <f>Data_SPC[[#This Row],[asset_local]]/Data_SPC[[#This Row],[exchange_rate_usd]]</f>
        <v>21994.087213599407</v>
      </c>
      <c r="M27" s="24">
        <f>(Data_SPC[[#This Row],[asset_local]]+81594)/2</f>
        <v>85434</v>
      </c>
      <c r="N27" s="24">
        <f>Data_SPC[[#This Row],[avg_asset_local]]/Data_SPC[[#This Row],[exchange_rate_usd]]</f>
        <v>21048.041389504804</v>
      </c>
      <c r="O27" s="24">
        <f>19159+21824</f>
        <v>40983</v>
      </c>
      <c r="P27" s="24">
        <f>Data_SPC[[#This Row],[liability_local]]/Data_SPC[[#This Row],[exchange_rate_usd]]</f>
        <v>10096.821877309681</v>
      </c>
      <c r="Q27" s="24">
        <v>48291</v>
      </c>
      <c r="R27" s="24">
        <f>Data_SPC[[#This Row],[equity_local]]/Data_SPC[[#This Row],[exchange_rate_usd]]</f>
        <v>11897.265336289725</v>
      </c>
      <c r="S27" s="24">
        <f>(Data_SPC[[#This Row],[equity_local]]+43501)/2</f>
        <v>45896</v>
      </c>
      <c r="T27" s="24">
        <f>Data_SPC[[#This Row],[avg_equity_local]]/Data_SPC[[#This Row],[exchange_rate_usd]]</f>
        <v>11307.218526730721</v>
      </c>
      <c r="U27" s="24">
        <v>52772</v>
      </c>
      <c r="V27" s="24">
        <f>Data_SPC[[#This Row],[revenue_local]]/Data_SPC[[#This Row],[exchange_rate_usd]]</f>
        <v>13001.231830500123</v>
      </c>
      <c r="W27" s="24">
        <v>5123</v>
      </c>
      <c r="X27" s="24">
        <f>Data_SPC[[#This Row],[ebit_local]]/Data_SPC[[#This Row],[exchange_rate_usd]]</f>
        <v>1262.1335304262134</v>
      </c>
      <c r="Y27" s="24">
        <v>3945</v>
      </c>
      <c r="Z27" s="24">
        <f>Data_SPC[[#This Row],[net_profit_local]]/Data_SPC[[#This Row],[exchange_rate_usd]]</f>
        <v>971.91426459719139</v>
      </c>
      <c r="AA27" s="24">
        <v>4904</v>
      </c>
      <c r="AB27" s="24">
        <f>Data_SPC[[#This Row],[ci_local]]/Data_SPC[[#This Row],[exchange_rate_usd]]</f>
        <v>1208.1793545208179</v>
      </c>
      <c r="AC27" s="24">
        <f>Data_SPC[[#This Row],[liability_local]]/Data_SPC[[#This Row],[asset_local]]*100</f>
        <v>45.906982996169098</v>
      </c>
      <c r="AD27" s="24">
        <f>Data_SPC[[#This Row],[ebit_local]]/Data_SPC[[#This Row],[revenue_local]]*100</f>
        <v>9.7077995906920336</v>
      </c>
      <c r="AE27" s="24">
        <f>Data_SPC[[#This Row],[net_profit_local]]/Data_SPC[[#This Row],[avg_equity_local]]*100</f>
        <v>8.5955203067805481</v>
      </c>
      <c r="AF27" s="24">
        <f>Data_SPC[[#This Row],[net_profit_local]]/Data_SPC[[#This Row],[avg_asset_local]]*100</f>
        <v>4.6175995505302341</v>
      </c>
      <c r="AG27" s="24" t="s">
        <v>182</v>
      </c>
      <c r="AH27" s="24">
        <v>17.791</v>
      </c>
      <c r="AI27" s="24">
        <f>SUM(Data_SPC[[#This Row],[ic_oil]:[ic_coal]])</f>
        <v>15.369000000000002</v>
      </c>
      <c r="AJ27" s="24">
        <v>0</v>
      </c>
      <c r="AK27" s="24">
        <v>0.92500000000000004</v>
      </c>
      <c r="AL27" s="24">
        <f>(5.696+7.156)+1.592</f>
        <v>14.444000000000001</v>
      </c>
      <c r="AM27" s="24">
        <v>0</v>
      </c>
      <c r="AN27" s="24">
        <f>SUM(Data_SPC[[#This Row],[ic_h2o]:[ic_other_re]])</f>
        <v>2.4140000000000001</v>
      </c>
      <c r="AO27" s="24">
        <f>0.096+1.256+0.287</f>
        <v>1.639</v>
      </c>
      <c r="AP27" s="24">
        <v>0.68799999999999994</v>
      </c>
      <c r="AQ27" s="24">
        <v>4.0000000000000001E-3</v>
      </c>
      <c r="AR27" s="24">
        <v>8.3000000000000004E-2</v>
      </c>
      <c r="AS27" s="24">
        <v>8.0000000000000002E-3</v>
      </c>
      <c r="AT27" s="44">
        <f>Data_SPC[[#This Row],[ic_total]]/Data_country!AC15*100</f>
        <v>36.389854776027825</v>
      </c>
      <c r="AU27" s="44">
        <f>Data_SPC[[#This Row],[ic_fossil]]/Data_country!AD15*100</f>
        <v>47.391304347826093</v>
      </c>
      <c r="AV27" s="44">
        <f>Data_SPC[[#This Row],[ic_fossil]]/Data_SPC[[#This Row],[ic_total]]*100</f>
        <v>86.386375133494482</v>
      </c>
      <c r="AW27" s="44">
        <v>0</v>
      </c>
      <c r="AX27" s="44">
        <f>Data_SPC[[#This Row],[ic_gas]]/Data_SPC[[#This Row],[ic_total]]*100</f>
        <v>5.1992580518239562</v>
      </c>
      <c r="AY27" s="44">
        <f>Data_SPC[[#This Row],[ic_coal]]/Data_SPC[[#This Row],[ic_total]]*100</f>
        <v>81.187117081670507</v>
      </c>
      <c r="AZ27" s="44">
        <f>Data_SPC[[#This Row],[ic_nuc]]/Data_SPC[[#This Row],[ic_total]]*100</f>
        <v>0</v>
      </c>
      <c r="BA27" s="44">
        <f>Data_SPC[[#This Row],[ic_re]]/Data_country!AI15*100</f>
        <v>14.665856622114216</v>
      </c>
      <c r="BB27" s="44">
        <f>Data_SPC[[#This Row],[ic_re]]/Data_SPC[[#This Row],[ic_total]]*100</f>
        <v>13.568658310381654</v>
      </c>
      <c r="BC27" s="44">
        <f>Data_SPC[[#This Row],[ic_h2o]]/Data_SPC[[#This Row],[ic_total]]*100</f>
        <v>9.2125231858805012</v>
      </c>
      <c r="BD27" s="44">
        <f>Data_SPC[[#This Row],[ic_wind]]/Data_SPC[[#This Row],[ic_total]]*100</f>
        <v>3.8671238266539261</v>
      </c>
      <c r="BE27" s="44">
        <f>Data_SPC[[#This Row],[ic_solar]]/Data_SPC[[#This Row],[ic_total]]*100</f>
        <v>2.248327806194143E-2</v>
      </c>
      <c r="BF27" s="44">
        <f>Data_SPC[[#This Row],[ic_other_re]]/Data_SPC[[#This Row],[ic_total]]*100</f>
        <v>0.46652801978528469</v>
      </c>
      <c r="BG27" s="44">
        <f>Data_SPC[[#This Row],[ic_other]]/Data_SPC[[#This Row],[ic_total]]*100</f>
        <v>4.496655612388286E-2</v>
      </c>
      <c r="BH27" s="24">
        <v>68.95</v>
      </c>
      <c r="BI27" s="24">
        <f>SUM(Data_SPC[[#This Row],[gen_oil]:[gen_coal]])</f>
        <v>65.95</v>
      </c>
      <c r="BJ27" s="24">
        <v>0</v>
      </c>
      <c r="BK27" s="24">
        <v>4.22</v>
      </c>
      <c r="BL27" s="24">
        <f>37.3+19.87+4.56</f>
        <v>61.730000000000004</v>
      </c>
      <c r="BM27" s="24">
        <v>0</v>
      </c>
      <c r="BN27" s="24">
        <f>SUM(Data_SPC[[#This Row],[gen_h2o]:[gen_other_re]])</f>
        <v>2.9609999999999999</v>
      </c>
      <c r="BO27" s="24">
        <f>0.45+0.69</f>
        <v>1.1399999999999999</v>
      </c>
      <c r="BP27" s="24">
        <v>1.45</v>
      </c>
      <c r="BQ27" s="24">
        <v>1E-3</v>
      </c>
      <c r="BR27" s="24">
        <v>0.37</v>
      </c>
      <c r="BS27" s="24">
        <v>0.04</v>
      </c>
      <c r="BT27" s="44">
        <f>Data_SPC[[#This Row],[gen_total]]/Data_country!AZ15*100</f>
        <v>38.564796688852852</v>
      </c>
      <c r="BU27" s="44">
        <f>Data_SPC[[#This Row],[gen_fossil]]/Data_country!BA15*100</f>
        <v>44.491668353234843</v>
      </c>
      <c r="BV27" s="44">
        <f>Data_SPC[[#This Row],[gen_fossil]]/Data_SPC[[#This Row],[gen_total]]*100</f>
        <v>95.649021029731685</v>
      </c>
      <c r="BW27" s="44">
        <f>Data_SPC[[#This Row],[gen_oil]]/Data_SPC[[#This Row],[gen_total]]*100</f>
        <v>0</v>
      </c>
      <c r="BX27" s="44">
        <f>Data_SPC[[#This Row],[gen_gas]]/Data_SPC[[#This Row],[gen_total]]*100</f>
        <v>6.1203770848440895</v>
      </c>
      <c r="BY27" s="44">
        <f>Data_SPC[[#This Row],[gen_coal]]/Data_SPC[[#This Row],[gen_total]]*100</f>
        <v>89.528643944887591</v>
      </c>
      <c r="BZ27" s="44">
        <f>Data_SPC[[#This Row],[gen_nuc]]/Data_SPC[[#This Row],[gen_total]]*100</f>
        <v>0</v>
      </c>
      <c r="CA27" s="44">
        <f>Data_SPC[[#This Row],[gen_re]]/Data_country!BF15*100</f>
        <v>9.6891361256544499</v>
      </c>
      <c r="CB27" s="44">
        <f>Data_SPC[[#This Row],[gen_re]]/Data_SPC[[#This Row],[gen_total]]*100</f>
        <v>4.2944162436548226</v>
      </c>
      <c r="CC27" s="44">
        <f>Data_SPC[[#This Row],[gen_h2o]]/Data_SPC[[#This Row],[gen_total]]*100</f>
        <v>1.6533720087019577</v>
      </c>
      <c r="CD27" s="44">
        <f>Data_SPC[[#This Row],[gen_wind]]/Data_SPC[[#This Row],[gen_total]]*100</f>
        <v>2.1029731689630164</v>
      </c>
      <c r="CE27" s="44">
        <f>Data_SPC[[#This Row],[gen_solar]]/Data_SPC[[#This Row],[gen_total]]*100</f>
        <v>1.4503263234227702E-3</v>
      </c>
      <c r="CF27" s="44">
        <f>Data_SPC[[#This Row],[gen_other_re]]/Data_SPC[[#This Row],[gen_total]]*100</f>
        <v>0.53662073966642487</v>
      </c>
      <c r="CG27" s="44">
        <f>Data_SPC[[#This Row],[gen_other]]/Data_SPC[[#This Row],[gen_total]]*100</f>
        <v>5.8013052936910801E-2</v>
      </c>
    </row>
    <row r="28" spans="1:85" s="42" customFormat="1" ht="25.4" customHeight="1" x14ac:dyDescent="0.25">
      <c r="A28" s="42" t="s">
        <v>320</v>
      </c>
      <c r="B28" s="42" t="s">
        <v>337</v>
      </c>
      <c r="C28" s="42" t="s">
        <v>51</v>
      </c>
      <c r="D28" s="23">
        <v>2022</v>
      </c>
      <c r="E28" s="23" t="b">
        <v>0</v>
      </c>
      <c r="F28" s="23" t="b">
        <v>1</v>
      </c>
      <c r="G28" s="23" t="b">
        <v>0</v>
      </c>
      <c r="H28" s="23" t="b">
        <v>1</v>
      </c>
      <c r="I28" s="43">
        <v>38013</v>
      </c>
      <c r="J28" s="24">
        <v>4.3890000000000002</v>
      </c>
      <c r="K28" s="24">
        <v>105778</v>
      </c>
      <c r="L28" s="24">
        <f>Data_SPC[[#This Row],[asset_local]]/Data_SPC[[#This Row],[exchange_rate_usd]]</f>
        <v>24100.706311232625</v>
      </c>
      <c r="M28" s="24">
        <f>(Data_SPC[[#This Row],[asset_local]]+K27)/2</f>
        <v>97526</v>
      </c>
      <c r="N28" s="24">
        <f>Data_SPC[[#This Row],[avg_asset_local]]/Data_SPC[[#This Row],[exchange_rate_usd]]</f>
        <v>22220.551378446115</v>
      </c>
      <c r="O28" s="24">
        <f>16099+35296</f>
        <v>51395</v>
      </c>
      <c r="P28" s="24">
        <f>Data_SPC[[#This Row],[liability_local]]/Data_SPC[[#This Row],[exchange_rate_usd]]</f>
        <v>11709.956709956708</v>
      </c>
      <c r="Q28" s="24">
        <v>54383</v>
      </c>
      <c r="R28" s="24">
        <f>Data_SPC[[#This Row],[equity_local]]/Data_SPC[[#This Row],[exchange_rate_usd]]</f>
        <v>12390.749601275917</v>
      </c>
      <c r="S28" s="24">
        <f>(Data_SPC[[#This Row],[equity_local]]+Q27)/2</f>
        <v>51337</v>
      </c>
      <c r="T28" s="24">
        <f>Data_SPC[[#This Row],[avg_equity_local]]/Data_SPC[[#This Row],[exchange_rate_usd]]</f>
        <v>11696.741854636592</v>
      </c>
      <c r="U28" s="24">
        <v>73435</v>
      </c>
      <c r="V28" s="24">
        <f>Data_SPC[[#This Row],[revenue_local]]/Data_SPC[[#This Row],[exchange_rate_usd]]</f>
        <v>16731.601731601731</v>
      </c>
      <c r="W28" s="24">
        <v>4299</v>
      </c>
      <c r="X28" s="24">
        <f>Data_SPC[[#This Row],[ebit_local]]/Data_SPC[[#This Row],[exchange_rate_usd]]</f>
        <v>979.49419002050581</v>
      </c>
      <c r="Y28" s="24">
        <v>3390</v>
      </c>
      <c r="Z28" s="24">
        <f>Data_SPC[[#This Row],[net_profit_local]]/Data_SPC[[#This Row],[exchange_rate_usd]]</f>
        <v>772.38550922761442</v>
      </c>
      <c r="AA28" s="24">
        <v>2897</v>
      </c>
      <c r="AB28" s="24">
        <f>Data_SPC[[#This Row],[ci_local]]/Data_SPC[[#This Row],[exchange_rate_usd]]</f>
        <v>660.05923900660741</v>
      </c>
      <c r="AC28" s="24">
        <f>Data_SPC[[#This Row],[liability_local]]/Data_SPC[[#This Row],[asset_local]]*100</f>
        <v>48.587608009226877</v>
      </c>
      <c r="AD28" s="24">
        <f>Data_SPC[[#This Row],[ebit_local]]/Data_SPC[[#This Row],[revenue_local]]*100</f>
        <v>5.85415673725063</v>
      </c>
      <c r="AE28" s="24">
        <f>Data_SPC[[#This Row],[net_profit_local]]/Data_SPC[[#This Row],[avg_equity_local]]*100</f>
        <v>6.6034244307224803</v>
      </c>
      <c r="AF28" s="24">
        <f>Data_SPC[[#This Row],[net_profit_local]]/Data_SPC[[#This Row],[avg_asset_local]]*100</f>
        <v>3.4759961446178456</v>
      </c>
      <c r="AG28" s="24" t="s">
        <v>182</v>
      </c>
      <c r="AH28" s="24">
        <v>17.888000000000002</v>
      </c>
      <c r="AI28" s="24">
        <f>SUM(Data_SPC[[#This Row],[ic_oil]:[ic_coal]])</f>
        <v>15.369000000000002</v>
      </c>
      <c r="AJ28" s="24">
        <v>0</v>
      </c>
      <c r="AK28" s="24">
        <v>0.92500000000000004</v>
      </c>
      <c r="AL28" s="24">
        <f>(5.696+7.156)+1.592</f>
        <v>14.444000000000001</v>
      </c>
      <c r="AM28" s="24">
        <v>0</v>
      </c>
      <c r="AN28" s="24">
        <f>SUM(Data_SPC[[#This Row],[ic_h2o]:[ic_other_re]])</f>
        <v>2.5109999999999997</v>
      </c>
      <c r="AO28" s="24">
        <f>0.096+1.251+0.287</f>
        <v>1.6339999999999999</v>
      </c>
      <c r="AP28" s="24">
        <v>0.77200000000000002</v>
      </c>
      <c r="AQ28" s="24">
        <f>0.022</f>
        <v>2.1999999999999999E-2</v>
      </c>
      <c r="AR28" s="24">
        <v>8.3000000000000004E-2</v>
      </c>
      <c r="AS28" s="24">
        <v>8.0000000000000002E-3</v>
      </c>
      <c r="AT28" s="44">
        <f>Data_SPC[[#This Row],[ic_total]]/Data_country!AC16*100</f>
        <v>32.541386210660363</v>
      </c>
      <c r="AU28" s="44">
        <f>Data_SPC[[#This Row],[ic_fossil]]/Data_country!AD16*100</f>
        <v>47.362095531587059</v>
      </c>
      <c r="AV28" s="44">
        <f>Data_SPC[[#This Row],[ic_fossil]]/Data_SPC[[#This Row],[ic_total]]*100</f>
        <v>85.917933810375672</v>
      </c>
      <c r="AW28" s="44">
        <f>Data_SPC[[#This Row],[ic_oil]]/Data_SPC[[#This Row],[ic_total]]*100</f>
        <v>0</v>
      </c>
      <c r="AX28" s="44">
        <f>Data_SPC[[#This Row],[ic_gas]]/Data_SPC[[#This Row],[ic_total]]*100</f>
        <v>5.1710644007155633</v>
      </c>
      <c r="AY28" s="44">
        <f>Data_SPC[[#This Row],[ic_coal]]/Data_SPC[[#This Row],[ic_total]]*100</f>
        <v>80.746869409660107</v>
      </c>
      <c r="AZ28" s="44">
        <f>Data_SPC[[#This Row],[ic_nuc]]/Data_SPC[[#This Row],[ic_total]]*100</f>
        <v>0</v>
      </c>
      <c r="BA28" s="44">
        <f>Data_SPC[[#This Row],[ic_re]]/Data_country!AI16*100</f>
        <v>11.150088809946713</v>
      </c>
      <c r="BB28" s="44">
        <f>Data_SPC[[#This Row],[ic_re]]/Data_SPC[[#This Row],[ic_total]]*100</f>
        <v>14.037343470483002</v>
      </c>
      <c r="BC28" s="44">
        <f>Data_SPC[[#This Row],[ic_h2o]]/Data_SPC[[#This Row],[ic_total]]*100</f>
        <v>9.1346153846153832</v>
      </c>
      <c r="BD28" s="44">
        <f>Data_SPC[[#This Row],[ic_wind]]/Data_SPC[[#This Row],[ic_total]]*100</f>
        <v>4.315742397137746</v>
      </c>
      <c r="BE28" s="44">
        <f>Data_SPC[[#This Row],[ic_solar]]/Data_SPC[[#This Row],[ic_total]]*100</f>
        <v>0.12298747763864042</v>
      </c>
      <c r="BF28" s="44">
        <f>Data_SPC[[#This Row],[ic_other_re]]/Data_SPC[[#This Row],[ic_total]]*100</f>
        <v>0.46399821109123435</v>
      </c>
      <c r="BG28" s="44">
        <f>Data_SPC[[#This Row],[ic_other]]/Data_SPC[[#This Row],[ic_total]]*100</f>
        <v>4.4722719141323787E-2</v>
      </c>
      <c r="BH28" s="24">
        <v>66.13</v>
      </c>
      <c r="BI28" s="24">
        <f>SUM(Data_SPC[[#This Row],[gen_oil]:[gen_coal]])</f>
        <v>62.940000000000005</v>
      </c>
      <c r="BJ28" s="24">
        <v>0</v>
      </c>
      <c r="BK28" s="24">
        <v>2.79</v>
      </c>
      <c r="BL28" s="24">
        <f>39.51+16.3+4.34</f>
        <v>60.150000000000006</v>
      </c>
      <c r="BM28" s="24">
        <v>0</v>
      </c>
      <c r="BN28" s="24">
        <f>SUM(Data_SPC[[#This Row],[gen_h2o]:[gen_other_re]])</f>
        <v>3.16</v>
      </c>
      <c r="BO28" s="24">
        <f>0.39+0.95</f>
        <v>1.3399999999999999</v>
      </c>
      <c r="BP28" s="24">
        <v>1.57</v>
      </c>
      <c r="BQ28" s="24">
        <v>0</v>
      </c>
      <c r="BR28" s="24">
        <v>0.25</v>
      </c>
      <c r="BS28" s="24">
        <v>0.03</v>
      </c>
      <c r="BT28" s="44">
        <f>Data_SPC[[#This Row],[gen_total]]/Data_country!AZ16*100</f>
        <v>37.037244469336315</v>
      </c>
      <c r="BU28" s="44">
        <f>Data_SPC[[#This Row],[gen_fossil]]/Data_country!BA16*100</f>
        <v>44.666808601234834</v>
      </c>
      <c r="BV28" s="44">
        <f>Data_SPC[[#This Row],[gen_fossil]]/Data_SPC[[#This Row],[gen_total]]*100</f>
        <v>95.17616815363678</v>
      </c>
      <c r="BW28" s="44">
        <f>Data_SPC[[#This Row],[gen_oil]]/Data_SPC[[#This Row],[gen_total]]*100</f>
        <v>0</v>
      </c>
      <c r="BX28" s="44">
        <f>Data_SPC[[#This Row],[gen_gas]]/Data_SPC[[#This Row],[gen_total]]*100</f>
        <v>4.2189626493270831</v>
      </c>
      <c r="BY28" s="44">
        <f>Data_SPC[[#This Row],[gen_coal]]/Data_SPC[[#This Row],[gen_total]]*100</f>
        <v>90.957205504309712</v>
      </c>
      <c r="BZ28" s="44">
        <f>Data_SPC[[#This Row],[gen_nuc]]/Data_SPC[[#This Row],[gen_total]]*100</f>
        <v>0</v>
      </c>
      <c r="CA28" s="44">
        <f>Data_SPC[[#This Row],[gen_re]]/Data_country!BF16*100</f>
        <v>8.3953241232731131</v>
      </c>
      <c r="CB28" s="44">
        <f>Data_SPC[[#This Row],[gen_re]]/Data_SPC[[#This Row],[gen_total]]*100</f>
        <v>4.7784666565855138</v>
      </c>
      <c r="CC28" s="44">
        <f>Data_SPC[[#This Row],[gen_h2o]]/Data_SPC[[#This Row],[gen_total]]*100</f>
        <v>2.0263118100710722</v>
      </c>
      <c r="CD28" s="44">
        <f>Data_SPC[[#This Row],[gen_wind]]/Data_SPC[[#This Row],[gen_total]]*100</f>
        <v>2.3741115983668535</v>
      </c>
      <c r="CE28" s="44">
        <f>Data_SPC[[#This Row],[gen_solar]]/Data_SPC[[#This Row],[gen_total]]*100</f>
        <v>0</v>
      </c>
      <c r="CF28" s="44">
        <f>Data_SPC[[#This Row],[gen_other_re]]/Data_SPC[[#This Row],[gen_total]]*100</f>
        <v>0.37804324814758811</v>
      </c>
      <c r="CG28" s="44">
        <f>Data_SPC[[#This Row],[gen_other]]/Data_SPC[[#This Row],[gen_total]]*100</f>
        <v>4.536518977771057E-2</v>
      </c>
    </row>
    <row r="29" spans="1:85" s="42" customFormat="1" ht="25.4" customHeight="1" x14ac:dyDescent="0.25">
      <c r="A29" s="42" t="s">
        <v>320</v>
      </c>
      <c r="B29" s="42" t="s">
        <v>337</v>
      </c>
      <c r="C29" s="42" t="s">
        <v>51</v>
      </c>
      <c r="D29" s="23">
        <v>2023</v>
      </c>
      <c r="E29" s="23" t="b">
        <v>0</v>
      </c>
      <c r="F29" s="23" t="b">
        <v>1</v>
      </c>
      <c r="G29" s="23" t="b">
        <v>0</v>
      </c>
      <c r="H29" s="23" t="b">
        <v>1</v>
      </c>
      <c r="I29" s="43">
        <v>42552</v>
      </c>
      <c r="J29" s="24">
        <v>3.927</v>
      </c>
      <c r="K29" s="24">
        <v>113443</v>
      </c>
      <c r="L29" s="24">
        <f>Data_SPC[[#This Row],[asset_local]]/Data_SPC[[#This Row],[exchange_rate_usd]]</f>
        <v>28887.95518207283</v>
      </c>
      <c r="M29" s="24">
        <f>(Data_SPC[[#This Row],[asset_local]]+K28)/2</f>
        <v>109610.5</v>
      </c>
      <c r="N29" s="24">
        <f>Data_SPC[[#This Row],[avg_asset_local]]/Data_SPC[[#This Row],[exchange_rate_usd]]</f>
        <v>27912.019353195825</v>
      </c>
      <c r="O29" s="24">
        <f>23378+42210</f>
        <v>65588</v>
      </c>
      <c r="P29" s="24">
        <f>Data_SPC[[#This Row],[liability_local]]/Data_SPC[[#This Row],[exchange_rate_usd]]</f>
        <v>16701.807995925643</v>
      </c>
      <c r="Q29" s="24">
        <v>47855</v>
      </c>
      <c r="R29" s="24">
        <f>Data_SPC[[#This Row],[equity_local]]/Data_SPC[[#This Row],[exchange_rate_usd]]</f>
        <v>12186.147186147185</v>
      </c>
      <c r="S29" s="24">
        <f>(Data_SPC[[#This Row],[equity_local]]+Q28)/2</f>
        <v>51119</v>
      </c>
      <c r="T29" s="24">
        <f>Data_SPC[[#This Row],[avg_equity_local]]/Data_SPC[[#This Row],[exchange_rate_usd]]</f>
        <v>13017.316017316018</v>
      </c>
      <c r="U29" s="24">
        <v>95964</v>
      </c>
      <c r="V29" s="24">
        <f>Data_SPC[[#This Row],[revenue_local]]/Data_SPC[[#This Row],[exchange_rate_usd]]</f>
        <v>24436.974789915967</v>
      </c>
      <c r="W29" s="24">
        <v>-3431</v>
      </c>
      <c r="X29" s="24">
        <f>Data_SPC[[#This Row],[ebit_local]]/Data_SPC[[#This Row],[exchange_rate_usd]]</f>
        <v>-873.69493251846188</v>
      </c>
      <c r="Y29" s="24">
        <v>-4902</v>
      </c>
      <c r="Z29" s="24">
        <f>Data_SPC[[#This Row],[net_profit_local]]/Data_SPC[[#This Row],[exchange_rate_usd]]</f>
        <v>-1248.2811306340718</v>
      </c>
      <c r="AA29" s="24">
        <v>-6673</v>
      </c>
      <c r="AB29" s="24">
        <f>Data_SPC[[#This Row],[ci_local]]/Data_SPC[[#This Row],[exchange_rate_usd]]</f>
        <v>-1699.2615227909346</v>
      </c>
      <c r="AC29" s="24">
        <f>Data_SPC[[#This Row],[liability_local]]/Data_SPC[[#This Row],[asset_local]]*100</f>
        <v>57.815819398288127</v>
      </c>
      <c r="AD29" s="24">
        <f>Data_SPC[[#This Row],[ebit_local]]/Data_SPC[[#This Row],[revenue_local]]*100</f>
        <v>-3.5752990704847649</v>
      </c>
      <c r="AE29" s="24">
        <f>Data_SPC[[#This Row],[net_profit_local]]/Data_SPC[[#This Row],[avg_equity_local]]*100</f>
        <v>-9.5893894638001527</v>
      </c>
      <c r="AF29" s="24">
        <f>Data_SPC[[#This Row],[net_profit_local]]/Data_SPC[[#This Row],[avg_asset_local]]*100</f>
        <v>-4.4721992874770207</v>
      </c>
      <c r="AG29" s="24" t="s">
        <v>182</v>
      </c>
      <c r="AH29" s="24">
        <v>17.911999999999999</v>
      </c>
      <c r="AI29" s="24">
        <f>SUM(Data_SPC[[#This Row],[ic_oil]:[ic_coal]])</f>
        <v>15.34</v>
      </c>
      <c r="AJ29" s="24">
        <v>0</v>
      </c>
      <c r="AK29" s="24">
        <v>0.94</v>
      </c>
      <c r="AL29" s="24">
        <f>(5.696+7.156)+1.548</f>
        <v>14.4</v>
      </c>
      <c r="AM29" s="24">
        <v>0</v>
      </c>
      <c r="AN29" s="24">
        <f>SUM(Data_SPC[[#This Row],[ic_h2o]:[ic_other_re]])</f>
        <v>2.5630000000000002</v>
      </c>
      <c r="AO29" s="24">
        <f>0.096+1.251+0.287</f>
        <v>1.6339999999999999</v>
      </c>
      <c r="AP29" s="24">
        <v>0.79700000000000004</v>
      </c>
      <c r="AQ29" s="24">
        <v>4.9000000000000002E-2</v>
      </c>
      <c r="AR29" s="24">
        <v>8.3000000000000004E-2</v>
      </c>
      <c r="AS29" s="24">
        <v>8.9999999999999993E-3</v>
      </c>
      <c r="AT29" s="44">
        <f>Data_SPC[[#This Row],[ic_total]]/Data_country!AC17*100</f>
        <v>30.210828132906052</v>
      </c>
      <c r="AU29" s="44">
        <f>Data_SPC[[#This Row],[ic_fossil]]/Data_country!AD17*100</f>
        <v>47.9375</v>
      </c>
      <c r="AV29" s="44">
        <f>Data_SPC[[#This Row],[ic_fossil]]/Data_SPC[[#This Row],[ic_total]]*100</f>
        <v>85.640911121036183</v>
      </c>
      <c r="AW29" s="44">
        <f>Data_SPC[[#This Row],[ic_oil]]/Data_SPC[[#This Row],[ic_total]]*100</f>
        <v>0</v>
      </c>
      <c r="AX29" s="44">
        <f>Data_SPC[[#This Row],[ic_gas]]/Data_SPC[[#This Row],[ic_total]]*100</f>
        <v>5.2478785171951765</v>
      </c>
      <c r="AY29" s="44">
        <f>Data_SPC[[#This Row],[ic_coal]]/Data_SPC[[#This Row],[ic_total]]*100</f>
        <v>80.393032603841007</v>
      </c>
      <c r="AZ29" s="44">
        <f>Data_SPC[[#This Row],[ic_nuc]]/Data_SPC[[#This Row],[ic_total]]*100</f>
        <v>0</v>
      </c>
      <c r="BA29" s="44">
        <f>Data_SPC[[#This Row],[ic_re]]/Data_country!AI17*100</f>
        <v>9.3917185782337853</v>
      </c>
      <c r="BB29" s="44">
        <f>Data_SPC[[#This Row],[ic_re]]/Data_SPC[[#This Row],[ic_total]]*100</f>
        <v>14.308843233586424</v>
      </c>
      <c r="BC29" s="44">
        <f>Data_SPC[[#This Row],[ic_h2o]]/Data_SPC[[#This Row],[ic_total]]*100</f>
        <v>9.1223760607414022</v>
      </c>
      <c r="BD29" s="44">
        <f>Data_SPC[[#This Row],[ic_wind]]/Data_SPC[[#This Row],[ic_total]]*100</f>
        <v>4.4495310406431443</v>
      </c>
      <c r="BE29" s="44">
        <f>Data_SPC[[#This Row],[ic_solar]]/Data_SPC[[#This Row],[ic_total]]*100</f>
        <v>0.27355962483251456</v>
      </c>
      <c r="BF29" s="44">
        <f>Data_SPC[[#This Row],[ic_other_re]]/Data_SPC[[#This Row],[ic_total]]*100</f>
        <v>0.46337650736936137</v>
      </c>
      <c r="BG29" s="44">
        <f>Data_SPC[[#This Row],[ic_other]]/Data_SPC[[#This Row],[ic_total]]*100</f>
        <v>5.0245645377400616E-2</v>
      </c>
      <c r="BH29" s="24">
        <v>56.77</v>
      </c>
      <c r="BI29" s="24">
        <f>SUM(Data_SPC[[#This Row],[gen_oil]:[gen_coal]])</f>
        <v>52.86</v>
      </c>
      <c r="BJ29" s="24">
        <v>0</v>
      </c>
      <c r="BK29" s="24">
        <v>4.21</v>
      </c>
      <c r="BL29" s="24">
        <f>29.75+15.07+3.83</f>
        <v>48.65</v>
      </c>
      <c r="BM29" s="24">
        <v>0</v>
      </c>
      <c r="BN29" s="24">
        <f>SUM(Data_SPC[[#This Row],[gen_h2o]:[gen_other_re]])</f>
        <v>3.88</v>
      </c>
      <c r="BO29" s="24">
        <f>0.44+1.2</f>
        <v>1.64</v>
      </c>
      <c r="BP29" s="24">
        <v>1.77</v>
      </c>
      <c r="BQ29" s="24">
        <v>0.03</v>
      </c>
      <c r="BR29" s="24">
        <v>0.44</v>
      </c>
      <c r="BS29" s="24">
        <v>0.03</v>
      </c>
      <c r="BT29" s="44">
        <f>Data_SPC[[#This Row],[gen_total]]/Data_country!AZ17*100</f>
        <v>33.641481481481485</v>
      </c>
      <c r="BU29" s="44">
        <f>Data_SPC[[#This Row],[gen_fossil]]/Data_country!BA17*100</f>
        <v>42.996583699365544</v>
      </c>
      <c r="BV29" s="44">
        <f>Data_SPC[[#This Row],[gen_fossil]]/Data_SPC[[#This Row],[gen_total]]*100</f>
        <v>93.11255945041394</v>
      </c>
      <c r="BW29" s="44">
        <f>Data_SPC[[#This Row],[gen_oil]]/Data_SPC[[#This Row],[gen_total]]*100</f>
        <v>0</v>
      </c>
      <c r="BX29" s="44">
        <f>Data_SPC[[#This Row],[gen_gas]]/Data_SPC[[#This Row],[gen_total]]*100</f>
        <v>7.4158886735952088</v>
      </c>
      <c r="BY29" s="44">
        <f>Data_SPC[[#This Row],[gen_coal]]/Data_SPC[[#This Row],[gen_total]]*100</f>
        <v>85.696670776818735</v>
      </c>
      <c r="BZ29" s="44">
        <f>Data_SPC[[#This Row],[gen_nuc]]/Data_SPC[[#This Row],[gen_total]]*100</f>
        <v>0</v>
      </c>
      <c r="CA29" s="44">
        <f>Data_SPC[[#This Row],[gen_re]]/Data_country!BF17*100</f>
        <v>8.469766426544421</v>
      </c>
      <c r="CB29" s="44">
        <f>Data_SPC[[#This Row],[gen_re]]/Data_SPC[[#This Row],[gen_total]]*100</f>
        <v>6.8345957371851327</v>
      </c>
      <c r="CC29" s="44">
        <f>Data_SPC[[#This Row],[gen_h2o]]/Data_SPC[[#This Row],[gen_total]]*100</f>
        <v>2.8888497445834065</v>
      </c>
      <c r="CD29" s="44">
        <f>Data_SPC[[#This Row],[gen_wind]]/Data_SPC[[#This Row],[gen_total]]*100</f>
        <v>3.1178439316540425</v>
      </c>
      <c r="CE29" s="44">
        <f>Data_SPC[[#This Row],[gen_solar]]/Data_SPC[[#This Row],[gen_total]]*100</f>
        <v>5.2844812400915979E-2</v>
      </c>
      <c r="CF29" s="44">
        <f>Data_SPC[[#This Row],[gen_other_re]]/Data_SPC[[#This Row],[gen_total]]*100</f>
        <v>0.77505724854676761</v>
      </c>
      <c r="CG29" s="44">
        <f>Data_SPC[[#This Row],[gen_other]]/Data_SPC[[#This Row],[gen_total]]*100</f>
        <v>5.2844812400915979E-2</v>
      </c>
    </row>
    <row r="30" spans="1:85" s="42" customFormat="1" ht="25.4" customHeight="1" x14ac:dyDescent="0.25">
      <c r="A30" s="42" t="s">
        <v>321</v>
      </c>
      <c r="B30" s="42" t="s">
        <v>338</v>
      </c>
      <c r="C30" s="42" t="s">
        <v>52</v>
      </c>
      <c r="D30" s="23">
        <v>2021</v>
      </c>
      <c r="E30" s="23" t="b">
        <v>1</v>
      </c>
      <c r="F30" s="23" t="b">
        <v>1</v>
      </c>
      <c r="G30" s="23" t="b">
        <v>1</v>
      </c>
      <c r="H30" s="23" t="b">
        <v>1</v>
      </c>
      <c r="I30" s="43">
        <v>40421</v>
      </c>
      <c r="J30" s="24">
        <v>15.948</v>
      </c>
      <c r="K30" s="24">
        <v>803328</v>
      </c>
      <c r="L30" s="24">
        <f>Data_SPC[[#This Row],[asset_local]]/Data_SPC[[#This Row],[exchange_rate_usd]]</f>
        <v>50371.708051166286</v>
      </c>
      <c r="M30" s="24">
        <f>(Data_SPC[[#This Row],[asset_local]]+777258)/2</f>
        <v>790293</v>
      </c>
      <c r="N30" s="24">
        <f>Data_SPC[[#This Row],[avg_asset_local]]/Data_SPC[[#This Row],[exchange_rate_usd]]</f>
        <v>49554.364183596685</v>
      </c>
      <c r="O30" s="24">
        <v>566271</v>
      </c>
      <c r="P30" s="24">
        <f>Data_SPC[[#This Row],[liability_local]]/Data_SPC[[#This Row],[exchange_rate_usd]]</f>
        <v>35507.336343115123</v>
      </c>
      <c r="Q30" s="24">
        <v>237057</v>
      </c>
      <c r="R30" s="24">
        <f>Data_SPC[[#This Row],[equity_local]]/Data_SPC[[#This Row],[exchange_rate_usd]]</f>
        <v>14864.371708051165</v>
      </c>
      <c r="S30" s="24">
        <f>(Data_SPC[[#This Row],[equity_local]]+215304)/2</f>
        <v>226180.5</v>
      </c>
      <c r="T30" s="24">
        <f>Data_SPC[[#This Row],[avg_equity_local]]/Data_SPC[[#This Row],[exchange_rate_usd]]</f>
        <v>14182.373965387509</v>
      </c>
      <c r="U30" s="24">
        <v>247594</v>
      </c>
      <c r="V30" s="24">
        <f>Data_SPC[[#This Row],[revenue_local]]/Data_SPC[[#This Row],[exchange_rate_usd]]</f>
        <v>15525.0815149235</v>
      </c>
      <c r="W30" s="24">
        <v>20888</v>
      </c>
      <c r="X30" s="24">
        <f>Data_SPC[[#This Row],[ebit_local]]/Data_SPC[[#This Row],[exchange_rate_usd]]</f>
        <v>1309.7567093052421</v>
      </c>
      <c r="Y30" s="24">
        <v>-11930</v>
      </c>
      <c r="Z30" s="24">
        <f>Data_SPC[[#This Row],[net_profit_local]]/Data_SPC[[#This Row],[exchange_rate_usd]]</f>
        <v>-748.05618259342862</v>
      </c>
      <c r="AA30" s="24">
        <v>-11283</v>
      </c>
      <c r="AB30" s="24">
        <f>Data_SPC[[#This Row],[ci_local]]/Data_SPC[[#This Row],[exchange_rate_usd]]</f>
        <v>-707.48683220466512</v>
      </c>
      <c r="AC30" s="24">
        <f>Data_SPC[[#This Row],[liability_local]]/Data_SPC[[#This Row],[asset_local]]*100</f>
        <v>70.490633962715108</v>
      </c>
      <c r="AD30" s="24">
        <f>Data_SPC[[#This Row],[ebit_local]]/Data_SPC[[#This Row],[revenue_local]]*100</f>
        <v>8.4363918350202347</v>
      </c>
      <c r="AE30" s="24">
        <f>Data_SPC[[#This Row],[net_profit_local]]/Data_SPC[[#This Row],[avg_equity_local]]*100</f>
        <v>-5.2745484248199999</v>
      </c>
      <c r="AF30" s="24">
        <f>Data_SPC[[#This Row],[net_profit_local]]/Data_SPC[[#This Row],[avg_asset_local]]*100</f>
        <v>-1.5095667050068773</v>
      </c>
      <c r="AG30" s="24" t="s">
        <v>231</v>
      </c>
      <c r="AH30" s="24">
        <v>51.866</v>
      </c>
      <c r="AI30" s="24">
        <f>2.426+Data_SPC[[#This Row],[ic_coal]]</f>
        <v>46.439</v>
      </c>
      <c r="AJ30" s="24"/>
      <c r="AK30" s="24"/>
      <c r="AL30" s="24">
        <v>44.012999999999998</v>
      </c>
      <c r="AM30" s="24">
        <v>1.9339999999999999</v>
      </c>
      <c r="AN30" s="24">
        <f>SUM(Data_SPC[[#This Row],[ic_h2o]:[ic_other_re]])</f>
        <v>3.4930000000000003</v>
      </c>
      <c r="AO30" s="24">
        <f>2.732+0.6+0.061</f>
        <v>3.3930000000000002</v>
      </c>
      <c r="AP30" s="24">
        <v>0.1</v>
      </c>
      <c r="AQ30" s="24"/>
      <c r="AR30" s="24"/>
      <c r="AS30" s="24"/>
      <c r="AT30" s="44">
        <f>Data_SPC[[#This Row],[ic_total]]/Data_country!AC18*100</f>
        <v>84.020735460878015</v>
      </c>
      <c r="AU30" s="44">
        <f>Data_SPC[[#This Row],[ic_fossil]]/Data_country!AD18*100</f>
        <v>92.915166066426579</v>
      </c>
      <c r="AV30" s="44">
        <f>Data_SPC[[#This Row],[ic_fossil]]/Data_SPC[[#This Row],[ic_total]]*100</f>
        <v>89.536497898430568</v>
      </c>
      <c r="AW30" s="44"/>
      <c r="AX30" s="44"/>
      <c r="AY30" s="44">
        <f>Data_SPC[[#This Row],[ic_coal]]/Data_SPC[[#This Row],[ic_total]]*100</f>
        <v>84.859059885088499</v>
      </c>
      <c r="AZ30" s="44">
        <f>Data_SPC[[#This Row],[ic_nuc]]/Data_SPC[[#This Row],[ic_total]]*100</f>
        <v>3.7288397023097981</v>
      </c>
      <c r="BA30" s="44">
        <f>Data_SPC[[#This Row],[ic_re]]/Data_country!AI18*100</f>
        <v>35.570264765784117</v>
      </c>
      <c r="BB30" s="44">
        <f>Data_SPC[[#This Row],[ic_re]]/Data_SPC[[#This Row],[ic_total]]*100</f>
        <v>6.7346623992596317</v>
      </c>
      <c r="BC30" s="44">
        <f>Data_SPC[[#This Row],[ic_h2o]]/Data_SPC[[#This Row],[ic_total]]*100</f>
        <v>6.5418578644969738</v>
      </c>
      <c r="BD30" s="44">
        <f>Data_SPC[[#This Row],[ic_wind]]/Data_SPC[[#This Row],[ic_total]]*100</f>
        <v>0.19280453476265763</v>
      </c>
      <c r="BE30" s="44"/>
      <c r="BF30" s="44"/>
      <c r="BG30" s="44">
        <f>Data_SPC[[#This Row],[ic_other]]/Data_SPC[[#This Row],[ic_total]]*100</f>
        <v>0</v>
      </c>
      <c r="BH30" s="24">
        <v>205.68799999999999</v>
      </c>
      <c r="BI30" s="24">
        <f>SUM(Data_SPC[[#This Row],[gen_oil]:[gen_coal]])</f>
        <v>186.39400000000001</v>
      </c>
      <c r="BJ30" s="24">
        <v>0</v>
      </c>
      <c r="BK30" s="24">
        <v>1.8260000000000001</v>
      </c>
      <c r="BL30" s="24">
        <v>184.56800000000001</v>
      </c>
      <c r="BM30" s="24">
        <v>12.355</v>
      </c>
      <c r="BN30" s="24">
        <f>SUM(Data_SPC[[#This Row],[gen_h2o]:[gen_other_re]])</f>
        <v>6.9390000000000001</v>
      </c>
      <c r="BO30" s="24">
        <f>1.943+4.743</f>
        <v>6.6859999999999999</v>
      </c>
      <c r="BP30" s="24">
        <v>0.253</v>
      </c>
      <c r="BQ30" s="24">
        <v>0</v>
      </c>
      <c r="BR30" s="24">
        <v>0</v>
      </c>
      <c r="BS30" s="24">
        <v>0</v>
      </c>
      <c r="BT30" s="44">
        <f>Data_SPC[[#This Row],[gen_total]]/Data_country!AZ18*100</f>
        <v>84.191396176988249</v>
      </c>
      <c r="BU30" s="44">
        <f>Data_SPC[[#This Row],[gen_fossil]]/Data_country!BA18*100</f>
        <v>87.059318075665587</v>
      </c>
      <c r="BV30" s="44">
        <f>Data_SPC[[#This Row],[gen_fossil]]/Data_SPC[[#This Row],[gen_total]]*100</f>
        <v>90.619773637742611</v>
      </c>
      <c r="BW30" s="44">
        <f>Data_SPC[[#This Row],[gen_oil]]/Data_SPC[[#This Row],[gen_total]]*100</f>
        <v>0</v>
      </c>
      <c r="BX30" s="44">
        <f>Data_SPC[[#This Row],[gen_gas]]/Data_SPC[[#This Row],[gen_total]]*100</f>
        <v>0.88775232390805503</v>
      </c>
      <c r="BY30" s="44">
        <f>Data_SPC[[#This Row],[gen_coal]]/Data_SPC[[#This Row],[gen_total]]*100</f>
        <v>89.732021313834551</v>
      </c>
      <c r="BZ30" s="44">
        <f>Data_SPC[[#This Row],[gen_nuc]]/Data_SPC[[#This Row],[gen_total]]*100</f>
        <v>6.0066702967601424</v>
      </c>
      <c r="CA30" s="44">
        <f>Data_SPC[[#This Row],[gen_re]]/Data_country!BF18*100</f>
        <v>38.852183650615899</v>
      </c>
      <c r="CB30" s="44">
        <f>Data_SPC[[#This Row],[gen_re]]/Data_SPC[[#This Row],[gen_total]]*100</f>
        <v>3.3735560654972581</v>
      </c>
      <c r="CC30" s="44">
        <f>Data_SPC[[#This Row],[gen_h2o]]/Data_SPC[[#This Row],[gen_total]]*100</f>
        <v>3.2505542374859009</v>
      </c>
      <c r="CD30" s="44">
        <f>Data_SPC[[#This Row],[gen_wind]]/Data_SPC[[#This Row],[gen_total]]*100</f>
        <v>0.12300182801135702</v>
      </c>
      <c r="CE30" s="44">
        <f>Data_SPC[[#This Row],[gen_solar]]/Data_SPC[[#This Row],[gen_total]]*100</f>
        <v>0</v>
      </c>
      <c r="CF30" s="44">
        <f>Data_SPC[[#This Row],[gen_other_re]]/Data_SPC[[#This Row],[gen_total]]*100</f>
        <v>0</v>
      </c>
      <c r="CG30" s="44">
        <f>Data_SPC[[#This Row],[gen_other]]/Data_SPC[[#This Row],[gen_total]]*100</f>
        <v>0</v>
      </c>
    </row>
    <row r="31" spans="1:85" s="42" customFormat="1" ht="25.4" customHeight="1" x14ac:dyDescent="0.25">
      <c r="A31" s="42" t="s">
        <v>321</v>
      </c>
      <c r="B31" s="42" t="s">
        <v>338</v>
      </c>
      <c r="C31" s="42" t="s">
        <v>52</v>
      </c>
      <c r="D31" s="23">
        <v>2022</v>
      </c>
      <c r="E31" s="23" t="b">
        <v>1</v>
      </c>
      <c r="F31" s="23" t="b">
        <v>1</v>
      </c>
      <c r="G31" s="23" t="b">
        <v>1</v>
      </c>
      <c r="H31" s="23" t="b">
        <v>1</v>
      </c>
      <c r="I31" s="43">
        <v>39601</v>
      </c>
      <c r="J31" s="24">
        <v>16.968</v>
      </c>
      <c r="K31" s="24">
        <v>827887</v>
      </c>
      <c r="L31" s="24">
        <f>Data_SPC[[#This Row],[asset_local]]/Data_SPC[[#This Row],[exchange_rate_usd]]</f>
        <v>48791.077322017918</v>
      </c>
      <c r="M31" s="24">
        <f>(Data_SPC[[#This Row],[asset_local]]+K30)/2</f>
        <v>815607.5</v>
      </c>
      <c r="N31" s="24">
        <f>Data_SPC[[#This Row],[avg_asset_local]]/Data_SPC[[#This Row],[exchange_rate_usd]]</f>
        <v>48067.391560584627</v>
      </c>
      <c r="O31" s="24">
        <v>591800</v>
      </c>
      <c r="P31" s="24">
        <f>Data_SPC[[#This Row],[liability_local]]/Data_SPC[[#This Row],[exchange_rate_usd]]</f>
        <v>34877.416313059875</v>
      </c>
      <c r="Q31" s="24">
        <v>236087</v>
      </c>
      <c r="R31" s="24">
        <f>Data_SPC[[#This Row],[equity_local]]/Data_SPC[[#This Row],[exchange_rate_usd]]</f>
        <v>13913.661008958039</v>
      </c>
      <c r="S31" s="24">
        <f>(Data_SPC[[#This Row],[equity_local]]+Q30)/2</f>
        <v>236572</v>
      </c>
      <c r="T31" s="24">
        <f>Data_SPC[[#This Row],[avg_equity_local]]/Data_SPC[[#This Row],[exchange_rate_usd]]</f>
        <v>13942.244224422442</v>
      </c>
      <c r="U31" s="24">
        <v>259543</v>
      </c>
      <c r="V31" s="24">
        <f>Data_SPC[[#This Row],[revenue_local]]/Data_SPC[[#This Row],[exchange_rate_usd]]</f>
        <v>15296.027817067421</v>
      </c>
      <c r="W31" s="24">
        <v>5560</v>
      </c>
      <c r="X31" s="24">
        <f>Data_SPC[[#This Row],[ebit_local]]/Data_SPC[[#This Row],[exchange_rate_usd]]</f>
        <v>327.67562470532766</v>
      </c>
      <c r="Y31" s="24">
        <v>-23939</v>
      </c>
      <c r="Z31" s="24">
        <f>Data_SPC[[#This Row],[net_profit_local]]/Data_SPC[[#This Row],[exchange_rate_usd]]</f>
        <v>-1410.8321546440359</v>
      </c>
      <c r="AA31" s="24">
        <f>-22827</f>
        <v>-22827</v>
      </c>
      <c r="AB31" s="24">
        <f>Data_SPC[[#This Row],[ci_local]]/Data_SPC[[#This Row],[exchange_rate_usd]]</f>
        <v>-1345.2970297029703</v>
      </c>
      <c r="AC31" s="24">
        <f>Data_SPC[[#This Row],[liability_local]]/Data_SPC[[#This Row],[asset_local]]*100</f>
        <v>71.483185507200858</v>
      </c>
      <c r="AD31" s="24">
        <f>Data_SPC[[#This Row],[ebit_local]]/Data_SPC[[#This Row],[revenue_local]]*100</f>
        <v>2.1422269142300121</v>
      </c>
      <c r="AE31" s="24">
        <f>Data_SPC[[#This Row],[net_profit_local]]/Data_SPC[[#This Row],[avg_equity_local]]*100</f>
        <v>-10.119118069763116</v>
      </c>
      <c r="AF31" s="24">
        <f>Data_SPC[[#This Row],[net_profit_local]]/Data_SPC[[#This Row],[avg_asset_local]]*100</f>
        <v>-2.9351127840290827</v>
      </c>
      <c r="AG31" s="24" t="s">
        <v>231</v>
      </c>
      <c r="AH31" s="24">
        <v>52.451000000000001</v>
      </c>
      <c r="AI31" s="24">
        <f>2.426+Data_SPC[[#This Row],[ic_coal]]</f>
        <v>47.024000000000001</v>
      </c>
      <c r="AJ31" s="24"/>
      <c r="AK31" s="24"/>
      <c r="AL31" s="24">
        <v>44.597999999999999</v>
      </c>
      <c r="AM31" s="24">
        <v>1.9339999999999999</v>
      </c>
      <c r="AN31" s="24">
        <f>SUM(Data_SPC[[#This Row],[ic_h2o]:[ic_other_re]])</f>
        <v>3.4930000000000003</v>
      </c>
      <c r="AO31" s="24">
        <f>2.732+0.6+0.061</f>
        <v>3.3930000000000002</v>
      </c>
      <c r="AP31" s="24">
        <v>0.1</v>
      </c>
      <c r="AQ31" s="24"/>
      <c r="AR31" s="24"/>
      <c r="AS31" s="24"/>
      <c r="AT31" s="44">
        <f>Data_SPC[[#This Row],[ic_total]]/Data_country!AC19*100</f>
        <v>84.543842682140564</v>
      </c>
      <c r="AU31" s="44">
        <f>Data_SPC[[#This Row],[ic_fossil]]/Data_country!AD19*100</f>
        <v>94.806451612903217</v>
      </c>
      <c r="AV31" s="44">
        <f>Data_SPC[[#This Row],[ic_fossil]]/Data_SPC[[#This Row],[ic_total]]*100</f>
        <v>89.653200129644816</v>
      </c>
      <c r="AW31" s="44"/>
      <c r="AX31" s="44"/>
      <c r="AY31" s="44">
        <f>Data_SPC[[#This Row],[ic_coal]]/Data_SPC[[#This Row],[ic_total]]*100</f>
        <v>85.027930830680063</v>
      </c>
      <c r="AZ31" s="44">
        <f>Data_SPC[[#This Row],[ic_nuc]]/Data_SPC[[#This Row],[ic_total]]*100</f>
        <v>3.687250958037025</v>
      </c>
      <c r="BA31" s="44">
        <f>Data_SPC[[#This Row],[ic_re]]/Data_country!AI19*100</f>
        <v>33.266666666666673</v>
      </c>
      <c r="BB31" s="44">
        <f>Data_SPC[[#This Row],[ic_re]]/Data_SPC[[#This Row],[ic_total]]*100</f>
        <v>6.6595489123181641</v>
      </c>
      <c r="BC31" s="44">
        <f>Data_SPC[[#This Row],[ic_h2o]]/Data_SPC[[#This Row],[ic_total]]*100</f>
        <v>6.4688947779832615</v>
      </c>
      <c r="BD31" s="44">
        <f>Data_SPC[[#This Row],[ic_wind]]/Data_SPC[[#This Row],[ic_total]]*100</f>
        <v>0.19065413433490305</v>
      </c>
      <c r="BE31" s="44"/>
      <c r="BF31" s="44"/>
      <c r="BG31" s="44">
        <f>Data_SPC[[#This Row],[ic_other]]/Data_SPC[[#This Row],[ic_total]]*100</f>
        <v>0</v>
      </c>
      <c r="BH31" s="24">
        <v>191.30699999999999</v>
      </c>
      <c r="BI31" s="24">
        <f>SUM(Data_SPC[[#This Row],[gen_oil]:[gen_coal]])</f>
        <v>174.149</v>
      </c>
      <c r="BJ31" s="24">
        <v>0</v>
      </c>
      <c r="BK31" s="24">
        <v>3.0179999999999998</v>
      </c>
      <c r="BL31" s="24">
        <v>171.131</v>
      </c>
      <c r="BM31" s="24">
        <v>9.8030000000000008</v>
      </c>
      <c r="BN31" s="24">
        <f>SUM(Data_SPC[[#This Row],[gen_h2o]:[gen_other_re]])</f>
        <v>7.3550000000000004</v>
      </c>
      <c r="BO31" s="24">
        <f>3.06+4.081</f>
        <v>7.141</v>
      </c>
      <c r="BP31" s="24">
        <v>0.214</v>
      </c>
      <c r="BQ31" s="24">
        <v>0</v>
      </c>
      <c r="BR31" s="24">
        <v>0</v>
      </c>
      <c r="BS31" s="24">
        <v>0</v>
      </c>
      <c r="BT31" s="44">
        <f>Data_SPC[[#This Row],[gen_total]]/Data_country!AZ19*100</f>
        <v>80.138656166219832</v>
      </c>
      <c r="BU31" s="44">
        <f>Data_SPC[[#This Row],[gen_fossil]]/Data_country!BA19*100</f>
        <v>84.834859703819177</v>
      </c>
      <c r="BV31" s="44">
        <f>Data_SPC[[#This Row],[gen_fossil]]/Data_SPC[[#This Row],[gen_total]]*100</f>
        <v>91.031169795146027</v>
      </c>
      <c r="BW31" s="44">
        <f>Data_SPC[[#This Row],[gen_oil]]/Data_SPC[[#This Row],[gen_total]]*100</f>
        <v>0</v>
      </c>
      <c r="BX31" s="44">
        <f>Data_SPC[[#This Row],[gen_gas]]/Data_SPC[[#This Row],[gen_total]]*100</f>
        <v>1.5775690382474241</v>
      </c>
      <c r="BY31" s="44">
        <f>Data_SPC[[#This Row],[gen_coal]]/Data_SPC[[#This Row],[gen_total]]*100</f>
        <v>89.453600756898595</v>
      </c>
      <c r="BZ31" s="44">
        <f>Data_SPC[[#This Row],[gen_nuc]]/Data_SPC[[#This Row],[gen_total]]*100</f>
        <v>5.1242244141615316</v>
      </c>
      <c r="CA31" s="44">
        <f>Data_SPC[[#This Row],[gen_re]]/Data_country!BF19*100</f>
        <v>31.512425021422452</v>
      </c>
      <c r="CB31" s="44">
        <f>Data_SPC[[#This Row],[gen_re]]/Data_SPC[[#This Row],[gen_total]]*100</f>
        <v>3.844605790692448</v>
      </c>
      <c r="CC31" s="44">
        <f>Data_SPC[[#This Row],[gen_h2o]]/Data_SPC[[#This Row],[gen_total]]*100</f>
        <v>3.7327437051440877</v>
      </c>
      <c r="CD31" s="44">
        <f>Data_SPC[[#This Row],[gen_wind]]/Data_SPC[[#This Row],[gen_total]]*100</f>
        <v>0.11186208554835944</v>
      </c>
      <c r="CE31" s="44">
        <f>Data_SPC[[#This Row],[gen_solar]]/Data_SPC[[#This Row],[gen_total]]*100</f>
        <v>0</v>
      </c>
      <c r="CF31" s="44">
        <f>Data_SPC[[#This Row],[gen_other_re]]/Data_SPC[[#This Row],[gen_total]]*100</f>
        <v>0</v>
      </c>
      <c r="CG31" s="44">
        <f>Data_SPC[[#This Row],[gen_other]]/Data_SPC[[#This Row],[gen_total]]*100</f>
        <v>0</v>
      </c>
    </row>
    <row r="32" spans="1:85" s="42" customFormat="1" ht="25.4" customHeight="1" x14ac:dyDescent="0.25">
      <c r="A32" s="42" t="s">
        <v>321</v>
      </c>
      <c r="B32" s="42" t="s">
        <v>338</v>
      </c>
      <c r="C32" s="42" t="s">
        <v>52</v>
      </c>
      <c r="D32" s="23">
        <v>2023</v>
      </c>
      <c r="E32" s="23" t="b">
        <v>1</v>
      </c>
      <c r="F32" s="23" t="b">
        <v>1</v>
      </c>
      <c r="G32" s="23" t="b">
        <v>1</v>
      </c>
      <c r="H32" s="23" t="b">
        <v>1</v>
      </c>
      <c r="I32" s="43"/>
      <c r="J32" s="24"/>
      <c r="K32" s="24"/>
      <c r="L32" s="24"/>
      <c r="M32" s="24"/>
      <c r="N32" s="24"/>
      <c r="O32" s="24"/>
      <c r="P32" s="24"/>
      <c r="Q32" s="24"/>
      <c r="R32" s="24"/>
      <c r="S32" s="24"/>
      <c r="T32" s="24"/>
      <c r="U32" s="24"/>
      <c r="V32" s="24"/>
      <c r="W32" s="24"/>
      <c r="X32" s="24"/>
      <c r="Y32" s="24"/>
      <c r="Z32" s="24"/>
      <c r="AA32" s="24"/>
      <c r="AB32" s="24"/>
      <c r="AC32" s="24"/>
      <c r="AD32" s="24"/>
      <c r="AE32" s="24"/>
      <c r="AF32" s="24"/>
      <c r="AG32" s="24" t="s">
        <v>231</v>
      </c>
      <c r="AH32" s="24"/>
      <c r="AI32" s="24"/>
      <c r="AJ32" s="24"/>
      <c r="AK32" s="24"/>
      <c r="AL32" s="24"/>
      <c r="AM32" s="24"/>
      <c r="AN32" s="24"/>
      <c r="AO32" s="24"/>
      <c r="AP32" s="24"/>
      <c r="AQ32" s="24"/>
      <c r="AR32" s="24"/>
      <c r="AS32" s="24"/>
      <c r="AT32" s="44"/>
      <c r="AU32" s="44"/>
      <c r="AV32" s="44"/>
      <c r="AW32" s="44"/>
      <c r="AX32" s="44"/>
      <c r="AY32" s="44"/>
      <c r="AZ32" s="44"/>
      <c r="BA32" s="44"/>
      <c r="BB32" s="44"/>
      <c r="BC32" s="44"/>
      <c r="BD32" s="44"/>
      <c r="BE32" s="44"/>
      <c r="BF32" s="44"/>
      <c r="BG32" s="44"/>
      <c r="BH32" s="24"/>
      <c r="BI32" s="24"/>
      <c r="BJ32" s="24"/>
      <c r="BK32" s="24"/>
      <c r="BL32" s="24"/>
      <c r="BM32" s="24"/>
      <c r="BN32" s="24"/>
      <c r="BO32" s="24"/>
      <c r="BP32" s="24"/>
      <c r="BQ32" s="24"/>
      <c r="BR32" s="24"/>
      <c r="BS32" s="24"/>
      <c r="BT32" s="44"/>
      <c r="BU32" s="44"/>
      <c r="BV32" s="44"/>
      <c r="BW32" s="44"/>
      <c r="BX32" s="44"/>
      <c r="BY32" s="44"/>
      <c r="BZ32" s="44"/>
      <c r="CA32" s="44"/>
      <c r="CB32" s="44"/>
      <c r="CC32" s="44"/>
      <c r="CD32" s="44"/>
      <c r="CE32" s="44"/>
      <c r="CF32" s="44"/>
      <c r="CG32" s="44"/>
    </row>
    <row r="33" spans="1:85" s="42" customFormat="1" ht="25.4" customHeight="1" x14ac:dyDescent="0.25">
      <c r="A33" s="42" t="s">
        <v>322</v>
      </c>
      <c r="B33" s="42" t="s">
        <v>339</v>
      </c>
      <c r="C33" s="42" t="s">
        <v>48</v>
      </c>
      <c r="D33" s="23">
        <v>2021</v>
      </c>
      <c r="E33" s="23" t="b">
        <v>1</v>
      </c>
      <c r="F33" s="23" t="b">
        <v>1</v>
      </c>
      <c r="G33" s="23" t="b">
        <v>1</v>
      </c>
      <c r="H33" s="23" t="b">
        <v>1</v>
      </c>
      <c r="I33" s="43">
        <f>(15+13+9+9+9+9+9)+(23460+12613+2807+2670+2694+2648+2509)+(2336+1442+361+359+662+671+657)</f>
        <v>55962</v>
      </c>
      <c r="J33" s="24">
        <v>1188.752</v>
      </c>
      <c r="K33" s="24">
        <v>211123727</v>
      </c>
      <c r="L33" s="24">
        <f>Data_SPC[[#This Row],[asset_local]]/Data_SPC[[#This Row],[exchange_rate_usd]]</f>
        <v>177601.15398333716</v>
      </c>
      <c r="M33" s="24">
        <f>(Data_SPC[[#This Row],[asset_local]]+203142111)/2</f>
        <v>207132919</v>
      </c>
      <c r="N33" s="24">
        <f>Data_SPC[[#This Row],[avg_asset_local]]/Data_SPC[[#This Row],[exchange_rate_usd]]</f>
        <v>174244.0130489791</v>
      </c>
      <c r="O33" s="24">
        <v>145797021</v>
      </c>
      <c r="P33" s="24">
        <f>Data_SPC[[#This Row],[liability_local]]/Data_SPC[[#This Row],[exchange_rate_usd]]</f>
        <v>122647.12993122199</v>
      </c>
      <c r="Q33" s="24">
        <v>65326706</v>
      </c>
      <c r="R33" s="24">
        <f>Data_SPC[[#This Row],[equity_local]]/Data_SPC[[#This Row],[exchange_rate_usd]]</f>
        <v>54954.024052115165</v>
      </c>
      <c r="S33" s="24">
        <f>(Data_SPC[[#This Row],[equity_local]]+70666846)/2</f>
        <v>67996776</v>
      </c>
      <c r="T33" s="24">
        <f>Data_SPC[[#This Row],[avg_equity_local]]/Data_SPC[[#This Row],[exchange_rate_usd]]</f>
        <v>57200.135940885906</v>
      </c>
      <c r="U33" s="24">
        <v>60673587</v>
      </c>
      <c r="V33" s="24">
        <f>Data_SPC[[#This Row],[revenue_local]]/Data_SPC[[#This Row],[exchange_rate_usd]]</f>
        <v>51039.734948921221</v>
      </c>
      <c r="W33" s="24">
        <f>-7071570-1402614+3245777</f>
        <v>-5228407</v>
      </c>
      <c r="X33" s="24">
        <f>Data_SPC[[#This Row],[ebit_local]]/Data_SPC[[#This Row],[exchange_rate_usd]]</f>
        <v>-4398.2319272648965</v>
      </c>
      <c r="Y33" s="24">
        <v>-5215581</v>
      </c>
      <c r="Z33" s="24">
        <f>Data_SPC[[#This Row],[net_profit_local]]/Data_SPC[[#This Row],[exchange_rate_usd]]</f>
        <v>-4387.4424606646298</v>
      </c>
      <c r="AA33" s="24">
        <v>-4615967</v>
      </c>
      <c r="AB33" s="24">
        <f>Data_SPC[[#This Row],[ci_local]]/Data_SPC[[#This Row],[exchange_rate_usd]]</f>
        <v>-3883.0361589297013</v>
      </c>
      <c r="AC33" s="24">
        <f>Data_SPC[[#This Row],[liability_local]]/Data_SPC[[#This Row],[asset_local]]*100</f>
        <v>69.057619942452035</v>
      </c>
      <c r="AD33" s="24">
        <f>Data_SPC[[#This Row],[ebit_local]]/Data_SPC[[#This Row],[revenue_local]]*100</f>
        <v>-8.6172703123683796</v>
      </c>
      <c r="AE33" s="24">
        <f>Data_SPC[[#This Row],[net_profit_local]]/Data_SPC[[#This Row],[avg_equity_local]]*100</f>
        <v>-7.6703357229760423</v>
      </c>
      <c r="AF33" s="24">
        <f>Data_SPC[[#This Row],[net_profit_local]]/Data_SPC[[#This Row],[avg_asset_local]]*100</f>
        <v>-2.517987495749046</v>
      </c>
      <c r="AG33" s="24" t="s">
        <v>234</v>
      </c>
      <c r="AH33" s="24">
        <v>82.459000000000003</v>
      </c>
      <c r="AI33" s="24">
        <f>SUM(Data_SPC[[#This Row],[ic_oil]:[ic_coal]])</f>
        <v>52.342999999999996</v>
      </c>
      <c r="AJ33" s="24">
        <v>1.2</v>
      </c>
      <c r="AK33" s="24">
        <f>16.838+1.4+0.346</f>
        <v>18.584</v>
      </c>
      <c r="AL33" s="24">
        <v>32.558999999999997</v>
      </c>
      <c r="AM33" s="24">
        <v>23.25</v>
      </c>
      <c r="AN33" s="24">
        <f>SUM(Data_SPC[[#This Row],[ic_h2o]:[ic_other_re]])</f>
        <v>6.5609999999999999</v>
      </c>
      <c r="AO33" s="24">
        <f>4.7+0.659</f>
        <v>5.359</v>
      </c>
      <c r="AP33" s="24">
        <v>0.16800000000000001</v>
      </c>
      <c r="AQ33" s="24">
        <v>0.32900000000000001</v>
      </c>
      <c r="AR33" s="24">
        <v>0.70499999999999996</v>
      </c>
      <c r="AS33" s="24">
        <v>0.30499999999999999</v>
      </c>
      <c r="AT33" s="44">
        <f>Data_SPC[[#This Row],[ic_total]]/Data_country!AC21*100</f>
        <v>60.04879114477135</v>
      </c>
      <c r="AU33" s="44">
        <f>Data_SPC[[#This Row],[ic_fossil]]/Data_country!AD21*100</f>
        <v>60.435284609167525</v>
      </c>
      <c r="AV33" s="44">
        <f>Data_SPC[[#This Row],[ic_fossil]]/Data_SPC[[#This Row],[ic_total]]*100</f>
        <v>63.477607053202192</v>
      </c>
      <c r="AW33" s="44">
        <f>Data_SPC[[#This Row],[ic_oil]]/Data_SPC[[#This Row],[ic_total]]*100</f>
        <v>1.4552686789798566</v>
      </c>
      <c r="AX33" s="44">
        <f>Data_SPC[[#This Row],[ic_gas]]/Data_SPC[[#This Row],[ic_total]]*100</f>
        <v>22.537260941801378</v>
      </c>
      <c r="AY33" s="44">
        <f>Data_SPC[[#This Row],[ic_coal]]/Data_SPC[[#This Row],[ic_total]]*100</f>
        <v>39.485077432420958</v>
      </c>
      <c r="AZ33" s="44">
        <f>Data_SPC[[#This Row],[ic_nuc]]/Data_SPC[[#This Row],[ic_total]]*100</f>
        <v>28.195830655234722</v>
      </c>
      <c r="BA33" s="44">
        <f>Data_SPC[[#This Row],[ic_re]]/Data_country!AI21*100</f>
        <v>23.89293517844137</v>
      </c>
      <c r="BB33" s="44">
        <f>Data_SPC[[#This Row],[ic_re]]/Data_SPC[[#This Row],[ic_total]]*100</f>
        <v>7.9566815023223656</v>
      </c>
      <c r="BC33" s="44">
        <f>Data_SPC[[#This Row],[ic_h2o]]/Data_SPC[[#This Row],[ic_total]]*100</f>
        <v>6.4989873755442105</v>
      </c>
      <c r="BD33" s="44">
        <f>Data_SPC[[#This Row],[ic_wind]]/Data_SPC[[#This Row],[ic_total]]*100</f>
        <v>0.20373761505717994</v>
      </c>
      <c r="BE33" s="44">
        <f>Data_SPC[[#This Row],[ic_solar]]/Data_SPC[[#This Row],[ic_total]]*100</f>
        <v>0.39898616282031069</v>
      </c>
      <c r="BF33" s="44">
        <f>Data_SPC[[#This Row],[ic_other_re]]/Data_SPC[[#This Row],[ic_total]]*100</f>
        <v>0.8549703489006657</v>
      </c>
      <c r="BG33" s="44">
        <f>Data_SPC[[#This Row],[ic_other]]/Data_SPC[[#This Row],[ic_total]]*100</f>
        <v>0.36988078924071355</v>
      </c>
      <c r="BH33" s="24">
        <v>400.37318099999999</v>
      </c>
      <c r="BI33" s="24">
        <f>SUM(Data_SPC[[#This Row],[gen_oil]:[gen_coal]])</f>
        <v>231.44596899999999</v>
      </c>
      <c r="BJ33" s="24">
        <v>1.4938530000000001</v>
      </c>
      <c r="BK33" s="24">
        <f>54.165049+1.176921+2.190755</f>
        <v>57.532725000000006</v>
      </c>
      <c r="BL33" s="24">
        <v>172.41939099999999</v>
      </c>
      <c r="BM33" s="24">
        <v>158.01523</v>
      </c>
      <c r="BN33" s="24">
        <f>SUM(Data_SPC[[#This Row],[gen_h2o]:[gen_other_re]])</f>
        <v>8.9185669999999995</v>
      </c>
      <c r="BO33" s="24">
        <f>1.078977+3.682932</f>
        <v>4.7619090000000002</v>
      </c>
      <c r="BP33" s="24">
        <v>0.19544500000000001</v>
      </c>
      <c r="BQ33" s="24">
        <v>0.492566</v>
      </c>
      <c r="BR33" s="24">
        <v>3.4686469999999998</v>
      </c>
      <c r="BS33" s="24">
        <v>1.9934149999999999</v>
      </c>
      <c r="BT33" s="44">
        <f>Data_SPC[[#This Row],[gen_total]]/Data_country!AZ21*100</f>
        <v>65.87685616032644</v>
      </c>
      <c r="BU33" s="44">
        <f>Data_SPC[[#This Row],[gen_fossil]]/Data_country!BA21*100</f>
        <v>57.623794099340216</v>
      </c>
      <c r="BV33" s="44">
        <f>Data_SPC[[#This Row],[gen_fossil]]/Data_SPC[[#This Row],[gen_total]]*100</f>
        <v>57.807560541873556</v>
      </c>
      <c r="BW33" s="44">
        <f>Data_SPC[[#This Row],[gen_oil]]/Data_SPC[[#This Row],[gen_total]]*100</f>
        <v>0.37311515128681916</v>
      </c>
      <c r="BX33" s="44">
        <f>Data_SPC[[#This Row],[gen_gas]]/Data_SPC[[#This Row],[gen_total]]*100</f>
        <v>14.369774932552239</v>
      </c>
      <c r="BY33" s="44">
        <f>Data_SPC[[#This Row],[gen_coal]]/Data_SPC[[#This Row],[gen_total]]*100</f>
        <v>43.064670458034499</v>
      </c>
      <c r="BZ33" s="44">
        <f>Data_SPC[[#This Row],[gen_nuc]]/Data_SPC[[#This Row],[gen_total]]*100</f>
        <v>39.466986676113052</v>
      </c>
      <c r="CA33" s="44">
        <f>Data_SPC[[#This Row],[gen_re]]/Data_country!BF21*100</f>
        <v>18.541719334719335</v>
      </c>
      <c r="CB33" s="44">
        <f>Data_SPC[[#This Row],[gen_re]]/Data_SPC[[#This Row],[gen_total]]*100</f>
        <v>2.2275635390273556</v>
      </c>
      <c r="CC33" s="44">
        <f>Data_SPC[[#This Row],[gen_h2o]]/Data_SPC[[#This Row],[gen_total]]*100</f>
        <v>1.1893676264994384</v>
      </c>
      <c r="CD33" s="44">
        <f>Data_SPC[[#This Row],[gen_wind]]/Data_SPC[[#This Row],[gen_total]]*100</f>
        <v>4.8815707263868906E-2</v>
      </c>
      <c r="CE33" s="44">
        <f>Data_SPC[[#This Row],[gen_solar]]/Data_SPC[[#This Row],[gen_total]]*100</f>
        <v>0.1230267219122252</v>
      </c>
      <c r="CF33" s="44">
        <f>Data_SPC[[#This Row],[gen_other_re]]/Data_SPC[[#This Row],[gen_total]]*100</f>
        <v>0.86635348335182327</v>
      </c>
      <c r="CG33" s="44">
        <f>Data_SPC[[#This Row],[gen_other]]/Data_SPC[[#This Row],[gen_total]]*100</f>
        <v>0.4978892429860331</v>
      </c>
    </row>
    <row r="34" spans="1:85" s="42" customFormat="1" ht="25.4" customHeight="1" x14ac:dyDescent="0.25">
      <c r="A34" s="42" t="s">
        <v>322</v>
      </c>
      <c r="B34" s="42" t="s">
        <v>339</v>
      </c>
      <c r="C34" s="42" t="s">
        <v>48</v>
      </c>
      <c r="D34" s="23">
        <v>2022</v>
      </c>
      <c r="E34" s="23" t="b">
        <v>1</v>
      </c>
      <c r="F34" s="23" t="b">
        <v>1</v>
      </c>
      <c r="G34" s="23" t="b">
        <v>1</v>
      </c>
      <c r="H34" s="23" t="b">
        <v>1</v>
      </c>
      <c r="I34" s="43">
        <f>(14+13+9+9+9+8+9)+(23767+12681+2818+2756+2733+2623+2468)+(2423+1471+350+353+696+676+642)</f>
        <v>56528</v>
      </c>
      <c r="J34" s="24">
        <v>1260.163</v>
      </c>
      <c r="K34" s="24">
        <v>234804994</v>
      </c>
      <c r="L34" s="24">
        <f>Data_SPC[[#This Row],[asset_local]]/Data_SPC[[#This Row],[exchange_rate_usd]]</f>
        <v>186329.06536694063</v>
      </c>
      <c r="M34" s="24">
        <f>(Data_SPC[[#This Row],[asset_local]]+K33)/2</f>
        <v>222964360.5</v>
      </c>
      <c r="N34" s="24">
        <f>Data_SPC[[#This Row],[avg_asset_local]]/Data_SPC[[#This Row],[exchange_rate_usd]]</f>
        <v>176932.95272119559</v>
      </c>
      <c r="O34" s="24">
        <v>192804738</v>
      </c>
      <c r="P34" s="24">
        <f>Data_SPC[[#This Row],[liability_local]]/Data_SPC[[#This Row],[exchange_rate_usd]]</f>
        <v>152999.84049682462</v>
      </c>
      <c r="Q34" s="24">
        <v>42000256</v>
      </c>
      <c r="R34" s="24">
        <f>Data_SPC[[#This Row],[equity_local]]/Data_SPC[[#This Row],[exchange_rate_usd]]</f>
        <v>33329.224870116006</v>
      </c>
      <c r="S34" s="24">
        <f>(Data_SPC[[#This Row],[equity_local]]+Q33)/2</f>
        <v>53663481</v>
      </c>
      <c r="T34" s="24">
        <f>Data_SPC[[#This Row],[avg_equity_local]]/Data_SPC[[#This Row],[exchange_rate_usd]]</f>
        <v>42584.555331334122</v>
      </c>
      <c r="U34" s="24">
        <v>71257863</v>
      </c>
      <c r="V34" s="24">
        <f>Data_SPC[[#This Row],[revenue_local]]/Data_SPC[[#This Row],[exchange_rate_usd]]</f>
        <v>56546.544375608551</v>
      </c>
      <c r="W34" s="24">
        <f>-33843619-1833312+4746791</f>
        <v>-30930140</v>
      </c>
      <c r="X34" s="24">
        <f>Data_SPC[[#This Row],[ebit_local]]/Data_SPC[[#This Row],[exchange_rate_usd]]</f>
        <v>-24544.554950431015</v>
      </c>
      <c r="Y34" s="24">
        <v>-24429108</v>
      </c>
      <c r="Z34" s="24">
        <f>Data_SPC[[#This Row],[net_profit_local]]/Data_SPC[[#This Row],[exchange_rate_usd]]</f>
        <v>-19385.673123238819</v>
      </c>
      <c r="AA34" s="24">
        <v>-23182239</v>
      </c>
      <c r="AB34" s="24">
        <f>Data_SPC[[#This Row],[ci_local]]/Data_SPC[[#This Row],[exchange_rate_usd]]</f>
        <v>-18396.222552161904</v>
      </c>
      <c r="AC34" s="24">
        <f>Data_SPC[[#This Row],[liability_local]]/Data_SPC[[#This Row],[asset_local]]*100</f>
        <v>82.112707534661723</v>
      </c>
      <c r="AD34" s="24">
        <f>Data_SPC[[#This Row],[ebit_local]]/Data_SPC[[#This Row],[revenue_local]]*100</f>
        <v>-43.405932619674545</v>
      </c>
      <c r="AE34" s="24">
        <f>Data_SPC[[#This Row],[net_profit_local]]/Data_SPC[[#This Row],[avg_equity_local]]*100</f>
        <v>-45.522779262120551</v>
      </c>
      <c r="AF34" s="24">
        <f>Data_SPC[[#This Row],[net_profit_local]]/Data_SPC[[#This Row],[avg_asset_local]]*100</f>
        <v>-10.956508002093903</v>
      </c>
      <c r="AG34" s="24" t="s">
        <v>234</v>
      </c>
      <c r="AH34" s="24">
        <v>82.722999999999999</v>
      </c>
      <c r="AI34" s="24">
        <f>SUM(Data_SPC[[#This Row],[ic_oil]:[ic_coal]])</f>
        <v>51.102999999999994</v>
      </c>
      <c r="AJ34" s="24"/>
      <c r="AK34" s="24">
        <f>16.798+1.4+0.346</f>
        <v>18.543999999999997</v>
      </c>
      <c r="AL34" s="24">
        <v>32.558999999999997</v>
      </c>
      <c r="AM34" s="24">
        <v>24.65</v>
      </c>
      <c r="AN34" s="24">
        <f>SUM(Data_SPC[[#This Row],[ic_h2o]:[ic_other_re]])</f>
        <v>6.548</v>
      </c>
      <c r="AO34" s="24">
        <f>4.7+0.651</f>
        <v>5.351</v>
      </c>
      <c r="AP34" s="24">
        <v>0.16800000000000001</v>
      </c>
      <c r="AQ34" s="24">
        <v>0.28399999999999997</v>
      </c>
      <c r="AR34" s="24">
        <v>0.745</v>
      </c>
      <c r="AS34" s="24">
        <v>0.42099999999999999</v>
      </c>
      <c r="AT34" s="44">
        <f>Data_SPC[[#This Row],[ic_total]]/Data_country!AC22*100</f>
        <v>58.051228070175455</v>
      </c>
      <c r="AU34" s="44">
        <f>Data_SPC[[#This Row],[ic_fossil]]/Data_country!AD22*100</f>
        <v>58.732329617285359</v>
      </c>
      <c r="AV34" s="44">
        <f>Data_SPC[[#This Row],[ic_fossil]]/Data_SPC[[#This Row],[ic_total]]*100</f>
        <v>61.776047773896003</v>
      </c>
      <c r="AW34" s="44">
        <f>Data_SPC[[#This Row],[ic_oil]]/Data_SPC[[#This Row],[ic_total]]*100</f>
        <v>0</v>
      </c>
      <c r="AX34" s="44">
        <f>Data_SPC[[#This Row],[ic_gas]]/Data_SPC[[#This Row],[ic_total]]*100</f>
        <v>22.416981975992165</v>
      </c>
      <c r="AY34" s="44">
        <f>Data_SPC[[#This Row],[ic_coal]]/Data_SPC[[#This Row],[ic_total]]*100</f>
        <v>39.359065797903845</v>
      </c>
      <c r="AZ34" s="44">
        <f>Data_SPC[[#This Row],[ic_nuc]]/Data_SPC[[#This Row],[ic_total]]*100</f>
        <v>29.798242326801493</v>
      </c>
      <c r="BA34" s="44">
        <f>Data_SPC[[#This Row],[ic_re]]/Data_country!AI22*100</f>
        <v>21.232166018158235</v>
      </c>
      <c r="BB34" s="44">
        <f>Data_SPC[[#This Row],[ic_re]]/Data_SPC[[#This Row],[ic_total]]*100</f>
        <v>7.9155736614968024</v>
      </c>
      <c r="BC34" s="44">
        <f>Data_SPC[[#This Row],[ic_h2o]]/Data_SPC[[#This Row],[ic_total]]*100</f>
        <v>6.4685758495218986</v>
      </c>
      <c r="BD34" s="44">
        <f>Data_SPC[[#This Row],[ic_wind]]/Data_SPC[[#This Row],[ic_total]]*100</f>
        <v>0.2030874122070041</v>
      </c>
      <c r="BE34" s="44">
        <f>Data_SPC[[#This Row],[ic_solar]]/Data_SPC[[#This Row],[ic_total]]*100</f>
        <v>0.34331443492136404</v>
      </c>
      <c r="BF34" s="44">
        <f>Data_SPC[[#This Row],[ic_other_re]]/Data_SPC[[#This Row],[ic_total]]*100</f>
        <v>0.90059596484653603</v>
      </c>
      <c r="BG34" s="44">
        <f>Data_SPC[[#This Row],[ic_other]]/Data_SPC[[#This Row],[ic_total]]*100</f>
        <v>0.50892738416159955</v>
      </c>
      <c r="BH34" s="24">
        <v>408.441461</v>
      </c>
      <c r="BI34" s="24">
        <f>SUM(Data_SPC[[#This Row],[gen_oil]:[gen_coal]])</f>
        <v>220.84698999999998</v>
      </c>
      <c r="BJ34" s="24">
        <v>0.35179300000000002</v>
      </c>
      <c r="BK34" s="24">
        <f>52.882262+1.377345+1.964827</f>
        <v>56.224433999999995</v>
      </c>
      <c r="BL34" s="24">
        <v>164.27076299999999</v>
      </c>
      <c r="BM34" s="24">
        <v>176.054012</v>
      </c>
      <c r="BN34" s="24">
        <f>SUM(Data_SPC[[#This Row],[gen_h2o]:[gen_other_re]])</f>
        <v>9.0703099999999992</v>
      </c>
      <c r="BO34" s="24">
        <f>1.328317+3.715049</f>
        <v>5.0433659999999998</v>
      </c>
      <c r="BP34" s="24">
        <v>0.218588</v>
      </c>
      <c r="BQ34" s="24">
        <v>0.353962</v>
      </c>
      <c r="BR34" s="24">
        <v>3.4543940000000002</v>
      </c>
      <c r="BS34" s="24">
        <v>2.4701490000000002</v>
      </c>
      <c r="BT34" s="44">
        <f>Data_SPC[[#This Row],[gen_total]]/Data_country!AZ22*100</f>
        <v>65.392484950368228</v>
      </c>
      <c r="BU34" s="44">
        <f>Data_SPC[[#This Row],[gen_fossil]]/Data_country!BA22*100</f>
        <v>56.186584745331494</v>
      </c>
      <c r="BV34" s="44">
        <f>Data_SPC[[#This Row],[gen_fossil]]/Data_SPC[[#This Row],[gen_total]]*100</f>
        <v>54.070659099909534</v>
      </c>
      <c r="BW34" s="44">
        <f>Data_SPC[[#This Row],[gen_oil]]/Data_SPC[[#This Row],[gen_total]]*100</f>
        <v>8.6130580166541904E-2</v>
      </c>
      <c r="BX34" s="44">
        <f>Data_SPC[[#This Row],[gen_gas]]/Data_SPC[[#This Row],[gen_total]]*100</f>
        <v>13.765603977212294</v>
      </c>
      <c r="BY34" s="44">
        <f>Data_SPC[[#This Row],[gen_coal]]/Data_SPC[[#This Row],[gen_total]]*100</f>
        <v>40.218924542530708</v>
      </c>
      <c r="BZ34" s="44">
        <f>Data_SPC[[#This Row],[gen_nuc]]/Data_SPC[[#This Row],[gen_total]]*100</f>
        <v>43.103854238735082</v>
      </c>
      <c r="CA34" s="44">
        <f>Data_SPC[[#This Row],[gen_re]]/Data_country!BF22*100</f>
        <v>16.345846098396105</v>
      </c>
      <c r="CB34" s="44">
        <f>Data_SPC[[#This Row],[gen_re]]/Data_SPC[[#This Row],[gen_total]]*100</f>
        <v>2.2207123580923631</v>
      </c>
      <c r="CC34" s="44">
        <f>Data_SPC[[#This Row],[gen_h2o]]/Data_SPC[[#This Row],[gen_total]]*100</f>
        <v>1.2347830672361637</v>
      </c>
      <c r="CD34" s="44">
        <f>Data_SPC[[#This Row],[gen_wind]]/Data_SPC[[#This Row],[gen_total]]*100</f>
        <v>5.3517583514862604E-2</v>
      </c>
      <c r="CE34" s="44">
        <f>Data_SPC[[#This Row],[gen_solar]]/Data_SPC[[#This Row],[gen_total]]*100</f>
        <v>8.6661623218510619E-2</v>
      </c>
      <c r="CF34" s="44">
        <f>Data_SPC[[#This Row],[gen_other_re]]/Data_SPC[[#This Row],[gen_total]]*100</f>
        <v>0.84575008412282626</v>
      </c>
      <c r="CG34" s="44">
        <f>Data_SPC[[#This Row],[gen_other]]/Data_SPC[[#This Row],[gen_total]]*100</f>
        <v>0.60477430326300785</v>
      </c>
    </row>
    <row r="35" spans="1:85" s="42" customFormat="1" ht="25.4" customHeight="1" x14ac:dyDescent="0.25">
      <c r="A35" s="42" t="s">
        <v>322</v>
      </c>
      <c r="B35" s="42" t="s">
        <v>339</v>
      </c>
      <c r="C35" s="42" t="s">
        <v>48</v>
      </c>
      <c r="D35" s="23">
        <v>2023</v>
      </c>
      <c r="E35" s="23" t="b">
        <v>1</v>
      </c>
      <c r="F35" s="23" t="b">
        <v>1</v>
      </c>
      <c r="G35" s="23" t="b">
        <v>1</v>
      </c>
      <c r="H35" s="23" t="b">
        <v>1</v>
      </c>
      <c r="I35" s="43"/>
      <c r="J35" s="24">
        <v>1297.43</v>
      </c>
      <c r="K35" s="24">
        <v>239714965</v>
      </c>
      <c r="L35" s="24">
        <f>Data_SPC[[#This Row],[asset_local]]/Data_SPC[[#This Row],[exchange_rate_usd]]</f>
        <v>184761.38597072673</v>
      </c>
      <c r="M35" s="24">
        <f>(Data_SPC[[#This Row],[asset_local]]+K34)/2</f>
        <v>237259979.5</v>
      </c>
      <c r="N35" s="24">
        <f>Data_SPC[[#This Row],[avg_asset_local]]/Data_SPC[[#This Row],[exchange_rate_usd]]</f>
        <v>182869.1948698581</v>
      </c>
      <c r="O35" s="24">
        <v>202450215</v>
      </c>
      <c r="P35" s="24">
        <f>Data_SPC[[#This Row],[liability_local]]/Data_SPC[[#This Row],[exchange_rate_usd]]</f>
        <v>156039.41253092652</v>
      </c>
      <c r="Q35" s="24">
        <v>37264750</v>
      </c>
      <c r="R35" s="24">
        <f>Data_SPC[[#This Row],[equity_local]]/Data_SPC[[#This Row],[exchange_rate_usd]]</f>
        <v>28721.973439800218</v>
      </c>
      <c r="S35" s="24">
        <f>(Data_SPC[[#This Row],[equity_local]]+Q34)/2</f>
        <v>39632503</v>
      </c>
      <c r="T35" s="24">
        <f>Data_SPC[[#This Row],[avg_equity_local]]/Data_SPC[[#This Row],[exchange_rate_usd]]</f>
        <v>30546.929699482822</v>
      </c>
      <c r="U35" s="24">
        <v>88219461</v>
      </c>
      <c r="V35" s="24">
        <f>Data_SPC[[#This Row],[revenue_local]]/Data_SPC[[#This Row],[exchange_rate_usd]]</f>
        <v>67995.545809793199</v>
      </c>
      <c r="W35" s="24">
        <f>-7553977-1425031+5347018</f>
        <v>-3631990</v>
      </c>
      <c r="X35" s="24">
        <f>Data_SPC[[#This Row],[ebit_local]]/Data_SPC[[#This Row],[exchange_rate_usd]]</f>
        <v>-2799.3726058438606</v>
      </c>
      <c r="Y35" s="24">
        <v>-4716144</v>
      </c>
      <c r="Z35" s="24">
        <f>Data_SPC[[#This Row],[net_profit_local]]/Data_SPC[[#This Row],[exchange_rate_usd]]</f>
        <v>-3634.9891708993932</v>
      </c>
      <c r="AA35" s="24">
        <v>-4944816</v>
      </c>
      <c r="AB35" s="24">
        <f>Data_SPC[[#This Row],[ci_local]]/Data_SPC[[#This Row],[exchange_rate_usd]]</f>
        <v>-3811.2391419961</v>
      </c>
      <c r="AC35" s="24">
        <f>Data_SPC[[#This Row],[liability_local]]/Data_SPC[[#This Row],[asset_local]]*100</f>
        <v>84.454558354335532</v>
      </c>
      <c r="AD35" s="24">
        <f>Data_SPC[[#This Row],[ebit_local]]/Data_SPC[[#This Row],[revenue_local]]*100</f>
        <v>-4.1169940949877262</v>
      </c>
      <c r="AE35" s="24">
        <f>Data_SPC[[#This Row],[net_profit_local]]/Data_SPC[[#This Row],[avg_equity_local]]*100</f>
        <v>-11.899687486303854</v>
      </c>
      <c r="AF35" s="24">
        <f>Data_SPC[[#This Row],[net_profit_local]]/Data_SPC[[#This Row],[avg_asset_local]]*100</f>
        <v>-1.9877536910939502</v>
      </c>
      <c r="AG35" s="24" t="s">
        <v>234</v>
      </c>
      <c r="AH35" s="24"/>
      <c r="AI35" s="24"/>
      <c r="AJ35" s="24"/>
      <c r="AK35" s="24"/>
      <c r="AL35" s="24"/>
      <c r="AM35" s="24"/>
      <c r="AN35" s="24"/>
      <c r="AO35" s="24"/>
      <c r="AP35" s="24"/>
      <c r="AQ35" s="24"/>
      <c r="AR35" s="24"/>
      <c r="AS35" s="24"/>
      <c r="AT35" s="44"/>
      <c r="AU35" s="44"/>
      <c r="AV35" s="44"/>
      <c r="AW35" s="44"/>
      <c r="AX35" s="44"/>
      <c r="AY35" s="44"/>
      <c r="AZ35" s="44"/>
      <c r="BA35" s="44"/>
      <c r="BB35" s="44"/>
      <c r="BC35" s="44"/>
      <c r="BD35" s="44"/>
      <c r="BE35" s="44"/>
      <c r="BF35" s="44"/>
      <c r="BG35" s="44"/>
      <c r="BH35" s="24"/>
      <c r="BI35" s="24"/>
      <c r="BJ35" s="24"/>
      <c r="BK35" s="24"/>
      <c r="BL35" s="24"/>
      <c r="BM35" s="24"/>
      <c r="BN35" s="24"/>
      <c r="BO35" s="24"/>
      <c r="BP35" s="24"/>
      <c r="BQ35" s="24"/>
      <c r="BR35" s="24"/>
      <c r="BS35" s="24"/>
      <c r="BT35" s="44"/>
      <c r="BU35" s="44"/>
      <c r="BV35" s="44"/>
      <c r="BW35" s="44"/>
      <c r="BX35" s="44"/>
      <c r="BY35" s="44"/>
      <c r="BZ35" s="44"/>
      <c r="CA35" s="44"/>
      <c r="CB35" s="44"/>
      <c r="CC35" s="44"/>
      <c r="CD35" s="44"/>
      <c r="CE35" s="44"/>
      <c r="CF35" s="44"/>
      <c r="CG35" s="44"/>
    </row>
    <row r="36" spans="1:85" s="42" customFormat="1" ht="25.4" customHeight="1" x14ac:dyDescent="0.25">
      <c r="A36" s="42" t="s">
        <v>90</v>
      </c>
      <c r="B36" s="42" t="s">
        <v>91</v>
      </c>
      <c r="C36" s="42" t="s">
        <v>92</v>
      </c>
      <c r="D36" s="23">
        <v>2021</v>
      </c>
      <c r="E36" s="23" t="b">
        <v>1</v>
      </c>
      <c r="F36" s="23" t="b">
        <v>1</v>
      </c>
      <c r="G36" s="23" t="b">
        <v>1</v>
      </c>
      <c r="H36" s="23" t="b">
        <v>0</v>
      </c>
      <c r="I36" s="43">
        <v>16359</v>
      </c>
      <c r="J36" s="24">
        <v>33.244999999999997</v>
      </c>
      <c r="K36" s="24">
        <v>1100517</v>
      </c>
      <c r="L36" s="24">
        <f>Data_SPC[[#This Row],[asset_local]]/Data_SPC[[#This Row],[exchange_rate_usd]]</f>
        <v>33103.233568957738</v>
      </c>
      <c r="M36" s="24">
        <f>(Data_SPC[[#This Row],[asset_local]]+994763)/2</f>
        <v>1047640</v>
      </c>
      <c r="N36" s="24">
        <f>Data_SPC[[#This Row],[avg_asset_local]]/Data_SPC[[#This Row],[exchange_rate_usd]]</f>
        <v>31512.708677996692</v>
      </c>
      <c r="O36" s="24">
        <v>591513</v>
      </c>
      <c r="P36" s="24">
        <f>Data_SPC[[#This Row],[liability_local]]/Data_SPC[[#This Row],[exchange_rate_usd]]</f>
        <v>17792.540231613777</v>
      </c>
      <c r="Q36" s="24">
        <v>509004</v>
      </c>
      <c r="R36" s="24">
        <f>Data_SPC[[#This Row],[equity_local]]/Data_SPC[[#This Row],[exchange_rate_usd]]</f>
        <v>15310.693337343962</v>
      </c>
      <c r="S36" s="24">
        <f>(Data_SPC[[#This Row],[equity_local]]+488141)/2</f>
        <v>498572.5</v>
      </c>
      <c r="T36" s="24">
        <f>Data_SPC[[#This Row],[avg_equity_local]]/Data_SPC[[#This Row],[exchange_rate_usd]]</f>
        <v>14996.916829598436</v>
      </c>
      <c r="U36" s="24">
        <f>553483+3831</f>
        <v>557314</v>
      </c>
      <c r="V36" s="24">
        <f>Data_SPC[[#This Row],[revenue_local]]/Data_SPC[[#This Row],[exchange_rate_usd]]</f>
        <v>16763.844187095805</v>
      </c>
      <c r="W36" s="24">
        <v>56614</v>
      </c>
      <c r="X36" s="24">
        <f>Data_SPC[[#This Row],[ebit_local]]/Data_SPC[[#This Row],[exchange_rate_usd]]</f>
        <v>1702.9327718453903</v>
      </c>
      <c r="Y36" s="24">
        <v>30682</v>
      </c>
      <c r="Z36" s="24">
        <f>Data_SPC[[#This Row],[net_profit_local]]/Data_SPC[[#This Row],[exchange_rate_usd]]</f>
        <v>922.90570010527904</v>
      </c>
      <c r="AA36" s="24">
        <v>40446</v>
      </c>
      <c r="AB36" s="24">
        <f>Data_SPC[[#This Row],[ci_local]]/Data_SPC[[#This Row],[exchange_rate_usd]]</f>
        <v>1216.6040006015944</v>
      </c>
      <c r="AC36" s="24">
        <f>Data_SPC[[#This Row],[liability_local]]/Data_SPC[[#This Row],[asset_local]]*100</f>
        <v>53.748647226712535</v>
      </c>
      <c r="AD36" s="24">
        <f>Data_SPC[[#This Row],[ebit_local]]/Data_SPC[[#This Row],[revenue_local]]*100</f>
        <v>10.15836673760214</v>
      </c>
      <c r="AE36" s="24">
        <f>Data_SPC[[#This Row],[net_profit_local]]/Data_SPC[[#This Row],[avg_equity_local]]*100</f>
        <v>6.1539695831599222</v>
      </c>
      <c r="AF36" s="24">
        <f>Data_SPC[[#This Row],[net_profit_local]]/Data_SPC[[#This Row],[avg_asset_local]]*100</f>
        <v>2.9286777900805623</v>
      </c>
      <c r="AG36" s="24" t="s">
        <v>182</v>
      </c>
      <c r="AH36" s="24">
        <v>16.082319999999999</v>
      </c>
      <c r="AI36" s="24">
        <f>Data_SPC[[#This Row],[ic_oil]]+3.687+8.262</f>
        <v>12.253</v>
      </c>
      <c r="AJ36" s="24">
        <v>0.30399999999999999</v>
      </c>
      <c r="AK36" s="24"/>
      <c r="AL36" s="24"/>
      <c r="AM36" s="24"/>
      <c r="AN36" s="24">
        <f>Data_SPC[[#This Row],[ic_h2o]]+0.13052</f>
        <v>4.1029200000000001</v>
      </c>
      <c r="AO36" s="24">
        <f>2.9724+1</f>
        <v>3.9723999999999999</v>
      </c>
      <c r="AP36" s="24"/>
      <c r="AQ36" s="24"/>
      <c r="AR36" s="24"/>
      <c r="AS36" s="24"/>
      <c r="AT36" s="44">
        <f>Data_SPC[[#This Row],[ic_total]]/Data_country!AC24*100</f>
        <v>31.07694685990338</v>
      </c>
      <c r="AU36" s="44">
        <f>Data_SPC[[#This Row],[ic_fossil]]/Data_country!AD24*100</f>
        <v>30.832913940613988</v>
      </c>
      <c r="AV36" s="44">
        <f>Data_SPC[[#This Row],[ic_fossil]]/Data_SPC[[#This Row],[ic_total]]*100</f>
        <v>76.189256276457627</v>
      </c>
      <c r="AW36" s="44">
        <f>Data_SPC[[#This Row],[ic_oil]]/Data_SPC[[#This Row],[ic_total]]*100</f>
        <v>1.8902745375045393</v>
      </c>
      <c r="AX36" s="44"/>
      <c r="AY36" s="44"/>
      <c r="AZ36" s="44"/>
      <c r="BA36" s="44">
        <f>Data_SPC[[#This Row],[ic_re]]/Data_country!AI24*100</f>
        <v>34.162531223980018</v>
      </c>
      <c r="BB36" s="44">
        <f>Data_SPC[[#This Row],[ic_re]]/Data_SPC[[#This Row],[ic_total]]*100</f>
        <v>25.511990807296463</v>
      </c>
      <c r="BC36" s="44">
        <f>Data_SPC[[#This Row],[ic_h2o]]/Data_SPC[[#This Row],[ic_total]]*100</f>
        <v>24.700416357838918</v>
      </c>
      <c r="BD36" s="44"/>
      <c r="BE36" s="44"/>
      <c r="BF36" s="44"/>
      <c r="BG36" s="44">
        <v>0</v>
      </c>
      <c r="BH36" s="24">
        <v>60.954770000000003</v>
      </c>
      <c r="BI36" s="24">
        <f>SUM(Data_SPC[[#This Row],[gen_oil]:[gen_coal]])</f>
        <v>56.370819999999995</v>
      </c>
      <c r="BJ36" s="24">
        <f>0.37052+0.27969</f>
        <v>0.65020999999999995</v>
      </c>
      <c r="BK36" s="24">
        <v>38.015389999999996</v>
      </c>
      <c r="BL36" s="24">
        <v>17.705220000000001</v>
      </c>
      <c r="BM36" s="24">
        <v>0</v>
      </c>
      <c r="BN36" s="24">
        <f>SUM(Data_SPC[[#This Row],[gen_h2o]:[gen_other_re]])</f>
        <v>4.5662900000000004</v>
      </c>
      <c r="BO36" s="24">
        <f>0.11282+3.9835+0.38949</f>
        <v>4.4858099999999999</v>
      </c>
      <c r="BP36" s="24">
        <v>6.2990000000000004E-2</v>
      </c>
      <c r="BQ36" s="24">
        <v>1.6129999999999999E-2</v>
      </c>
      <c r="BR36" s="24">
        <v>1.3600000000000001E-3</v>
      </c>
      <c r="BS36" s="24">
        <v>1.7659999999999999E-2</v>
      </c>
      <c r="BT36" s="44">
        <f>Data_SPC[[#This Row],[gen_total]]/Data_country!AZ24*100</f>
        <v>34.562695622590155</v>
      </c>
      <c r="BU36" s="44">
        <f>Data_SPC[[#This Row],[gen_fossil]]/Data_country!BA24*100</f>
        <v>37.608125959036627</v>
      </c>
      <c r="BV36" s="44">
        <f>Data_SPC[[#This Row],[gen_fossil]]/Data_SPC[[#This Row],[gen_total]]*100</f>
        <v>92.479751789728667</v>
      </c>
      <c r="BW36" s="44">
        <f>Data_SPC[[#This Row],[gen_oil]]/Data_SPC[[#This Row],[gen_total]]*100</f>
        <v>1.0667089712585249</v>
      </c>
      <c r="BX36" s="44">
        <f>Data_SPC[[#This Row],[gen_gas]]/Data_SPC[[#This Row],[gen_total]]*100</f>
        <v>62.366554742147329</v>
      </c>
      <c r="BY36" s="44">
        <f>Data_SPC[[#This Row],[gen_coal]]/Data_SPC[[#This Row],[gen_total]]*100</f>
        <v>29.046488076322817</v>
      </c>
      <c r="BZ36" s="44">
        <f>Data_SPC[[#This Row],[gen_nuc]]/Data_SPC[[#This Row],[gen_total]]*100</f>
        <v>0</v>
      </c>
      <c r="CA36" s="44">
        <f>Data_SPC[[#This Row],[gen_re]]/Data_country!BF24*100</f>
        <v>17.250812240272008</v>
      </c>
      <c r="CB36" s="44">
        <f>Data_SPC[[#This Row],[gen_re]]/Data_SPC[[#This Row],[gen_total]]*100</f>
        <v>7.4912759083497482</v>
      </c>
      <c r="CC36" s="44">
        <f>Data_SPC[[#This Row],[gen_h2o]]/Data_SPC[[#This Row],[gen_total]]*100</f>
        <v>7.3592435833979843</v>
      </c>
      <c r="CD36" s="44">
        <f>Data_SPC[[#This Row],[gen_wind]]/Data_SPC[[#This Row],[gen_total]]*100</f>
        <v>0.10333891834880191</v>
      </c>
      <c r="CE36" s="44">
        <f>Data_SPC[[#This Row],[gen_solar]]/Data_SPC[[#This Row],[gen_total]]*100</f>
        <v>2.6462244054074848E-2</v>
      </c>
      <c r="CF36" s="44">
        <f>Data_SPC[[#This Row],[gen_other_re]]/Data_SPC[[#This Row],[gen_total]]*100</f>
        <v>2.231162548886658E-3</v>
      </c>
      <c r="CG36" s="44">
        <f>Data_SPC[[#This Row],[gen_other]]/Data_SPC[[#This Row],[gen_total]]*100</f>
        <v>2.8972301921572335E-2</v>
      </c>
    </row>
    <row r="37" spans="1:85" s="42" customFormat="1" ht="25.4" customHeight="1" x14ac:dyDescent="0.25">
      <c r="A37" s="42" t="s">
        <v>90</v>
      </c>
      <c r="B37" s="42" t="s">
        <v>91</v>
      </c>
      <c r="C37" s="42" t="s">
        <v>92</v>
      </c>
      <c r="D37" s="23">
        <v>2022</v>
      </c>
      <c r="E37" s="23" t="b">
        <v>1</v>
      </c>
      <c r="F37" s="23" t="b">
        <v>1</v>
      </c>
      <c r="G37" s="23" t="b">
        <v>1</v>
      </c>
      <c r="H37" s="23" t="b">
        <v>0</v>
      </c>
      <c r="I37" s="43">
        <v>15592</v>
      </c>
      <c r="J37" s="24">
        <v>34.534999999999997</v>
      </c>
      <c r="K37" s="24">
        <v>1324758</v>
      </c>
      <c r="L37" s="24">
        <f>Data_SPC[[#This Row],[asset_local]]/Data_SPC[[#This Row],[exchange_rate_usd]]</f>
        <v>38359.86680179528</v>
      </c>
      <c r="M37" s="24">
        <f>(Data_SPC[[#This Row],[asset_local]]+K36)/2</f>
        <v>1212637.5</v>
      </c>
      <c r="N37" s="24">
        <f>Data_SPC[[#This Row],[avg_asset_local]]/Data_SPC[[#This Row],[exchange_rate_usd]]</f>
        <v>35113.290864340524</v>
      </c>
      <c r="O37" s="24">
        <v>775175</v>
      </c>
      <c r="P37" s="24">
        <f>Data_SPC[[#This Row],[liability_local]]/Data_SPC[[#This Row],[exchange_rate_usd]]</f>
        <v>22446.069205154192</v>
      </c>
      <c r="Q37" s="24">
        <v>549583</v>
      </c>
      <c r="R37" s="24">
        <f>Data_SPC[[#This Row],[equity_local]]/Data_SPC[[#This Row],[exchange_rate_usd]]</f>
        <v>15913.79759664109</v>
      </c>
      <c r="S37" s="24">
        <f>(Data_SPC[[#This Row],[equity_local]]+Q36)/2</f>
        <v>529293.5</v>
      </c>
      <c r="T37" s="24">
        <f>Data_SPC[[#This Row],[avg_equity_local]]/Data_SPC[[#This Row],[exchange_rate_usd]]</f>
        <v>15326.29216736644</v>
      </c>
      <c r="U37" s="24">
        <f>801642+4202+1307</f>
        <v>807151</v>
      </c>
      <c r="V37" s="24">
        <f>Data_SPC[[#This Row],[revenue_local]]/Data_SPC[[#This Row],[exchange_rate_usd]]</f>
        <v>23371.970464745911</v>
      </c>
      <c r="W37" s="24">
        <v>74623</v>
      </c>
      <c r="X37" s="24">
        <f>Data_SPC[[#This Row],[ebit_local]]/Data_SPC[[#This Row],[exchange_rate_usd]]</f>
        <v>2160.7933980020271</v>
      </c>
      <c r="Y37" s="24">
        <v>45815</v>
      </c>
      <c r="Z37" s="24">
        <f>Data_SPC[[#This Row],[net_profit_local]]/Data_SPC[[#This Row],[exchange_rate_usd]]</f>
        <v>1326.6251628782395</v>
      </c>
      <c r="AA37" s="24">
        <v>49617</v>
      </c>
      <c r="AB37" s="24">
        <f>Data_SPC[[#This Row],[ci_local]]/Data_SPC[[#This Row],[exchange_rate_usd]]</f>
        <v>1436.7163746923413</v>
      </c>
      <c r="AC37" s="24">
        <f>Data_SPC[[#This Row],[liability_local]]/Data_SPC[[#This Row],[asset_local]]*100</f>
        <v>58.514460754341549</v>
      </c>
      <c r="AD37" s="24">
        <f>Data_SPC[[#This Row],[ebit_local]]/Data_SPC[[#This Row],[revenue_local]]*100</f>
        <v>9.2452341631243726</v>
      </c>
      <c r="AE37" s="24">
        <f>Data_SPC[[#This Row],[net_profit_local]]/Data_SPC[[#This Row],[avg_equity_local]]*100</f>
        <v>8.6558780714291785</v>
      </c>
      <c r="AF37" s="24">
        <f>Data_SPC[[#This Row],[net_profit_local]]/Data_SPC[[#This Row],[avg_asset_local]]*100</f>
        <v>3.7781282534970262</v>
      </c>
      <c r="AG37" s="24" t="s">
        <v>182</v>
      </c>
      <c r="AH37" s="24">
        <v>16.92032</v>
      </c>
      <c r="AI37" s="24">
        <f>Data_SPC[[#This Row],[ic_oil]]+9.086+3.687</f>
        <v>12.8034</v>
      </c>
      <c r="AJ37" s="24">
        <v>3.04E-2</v>
      </c>
      <c r="AK37" s="24"/>
      <c r="AL37" s="24"/>
      <c r="AM37" s="24"/>
      <c r="AN37" s="24">
        <f>Data_SPC[[#This Row],[ic_h2o]]+0.13052</f>
        <v>4.1165200000000004</v>
      </c>
      <c r="AO37" s="24">
        <v>3.9860000000000002</v>
      </c>
      <c r="AP37" s="24"/>
      <c r="AQ37" s="24"/>
      <c r="AR37" s="24"/>
      <c r="AS37" s="24"/>
      <c r="AT37" s="44">
        <f>Data_SPC[[#This Row],[ic_total]]/Data_country!AC25*100</f>
        <v>30.820255009107466</v>
      </c>
      <c r="AU37" s="44">
        <f>Data_SPC[[#This Row],[ic_fossil]]/Data_country!AD25*100</f>
        <v>30.033779028852919</v>
      </c>
      <c r="AV37" s="44">
        <f>Data_SPC[[#This Row],[ic_fossil]]/Data_SPC[[#This Row],[ic_total]]*100</f>
        <v>75.668781677887893</v>
      </c>
      <c r="AW37" s="44">
        <f>Data_SPC[[#This Row],[ic_oil]]/Data_SPC[[#This Row],[ic_total]]*100</f>
        <v>0.1796656328012709</v>
      </c>
      <c r="AX37" s="44"/>
      <c r="AY37" s="44"/>
      <c r="AZ37" s="44"/>
      <c r="BA37" s="44">
        <f>Data_SPC[[#This Row],[ic_re]]/Data_country!AI25*100</f>
        <v>33.549470252648739</v>
      </c>
      <c r="BB37" s="44">
        <f>Data_SPC[[#This Row],[ic_re]]/Data_SPC[[#This Row],[ic_total]]*100</f>
        <v>24.328854300627885</v>
      </c>
      <c r="BC37" s="44">
        <f>Data_SPC[[#This Row],[ic_h2o]]/Data_SPC[[#This Row],[ic_total]]*100</f>
        <v>23.557474090324533</v>
      </c>
      <c r="BD37" s="44"/>
      <c r="BE37" s="44"/>
      <c r="BF37" s="44"/>
      <c r="BG37" s="44">
        <v>0</v>
      </c>
      <c r="BH37" s="24">
        <v>61.938400000000001</v>
      </c>
      <c r="BI37" s="24">
        <f>SUM(Data_SPC[[#This Row],[gen_oil]:[gen_coal]])</f>
        <v>55.22043</v>
      </c>
      <c r="BJ37" s="24">
        <f>0.09783+1.56819</f>
        <v>1.6660200000000001</v>
      </c>
      <c r="BK37" s="24">
        <v>36.586509999999997</v>
      </c>
      <c r="BL37" s="24">
        <v>16.9679</v>
      </c>
      <c r="BM37" s="24">
        <v>0</v>
      </c>
      <c r="BN37" s="24">
        <f>SUM(Data_SPC[[#This Row],[gen_h2o]:[gen_other_re]])</f>
        <v>6.7179700000000002</v>
      </c>
      <c r="BO37" s="24">
        <f>0.13912+
6.0954+0.33392</f>
        <v>6.5684399999999998</v>
      </c>
      <c r="BP37" s="24">
        <v>5.8290000000000002E-2</v>
      </c>
      <c r="BQ37" s="24">
        <v>8.9849999999999999E-2</v>
      </c>
      <c r="BR37" s="24">
        <v>1.39E-3</v>
      </c>
      <c r="BS37" s="24">
        <v>0</v>
      </c>
      <c r="BT37" s="44">
        <f>Data_SPC[[#This Row],[gen_total]]/Data_country!AZ25*100</f>
        <v>34.339635194322781</v>
      </c>
      <c r="BU37" s="44">
        <f>Data_SPC[[#This Row],[gen_fossil]]/Data_country!BA25*100</f>
        <v>36.355540193561133</v>
      </c>
      <c r="BV37" s="44">
        <f>Data_SPC[[#This Row],[gen_fossil]]/Data_SPC[[#This Row],[gen_total]]*100</f>
        <v>89.153788279968481</v>
      </c>
      <c r="BW37" s="44">
        <f>Data_SPC[[#This Row],[gen_oil]]/Data_SPC[[#This Row],[gen_total]]*100</f>
        <v>2.6898014801803085</v>
      </c>
      <c r="BX37" s="44">
        <f>Data_SPC[[#This Row],[gen_gas]]/Data_SPC[[#This Row],[gen_total]]*100</f>
        <v>59.069188096560445</v>
      </c>
      <c r="BY37" s="44">
        <f>Data_SPC[[#This Row],[gen_coal]]/Data_SPC[[#This Row],[gen_total]]*100</f>
        <v>27.394798703227725</v>
      </c>
      <c r="BZ37" s="44">
        <f>Data_SPC[[#This Row],[gen_nuc]]/Data_SPC[[#This Row],[gen_total]]*100</f>
        <v>0</v>
      </c>
      <c r="CA37" s="44">
        <f>Data_SPC[[#This Row],[gen_re]]/Data_country!BF25*100</f>
        <v>23.588377808988763</v>
      </c>
      <c r="CB37" s="44">
        <f>Data_SPC[[#This Row],[gen_re]]/Data_SPC[[#This Row],[gen_total]]*100</f>
        <v>10.846211720031516</v>
      </c>
      <c r="CC37" s="44">
        <f>Data_SPC[[#This Row],[gen_h2o]]/Data_SPC[[#This Row],[gen_total]]*100</f>
        <v>10.604794440928405</v>
      </c>
      <c r="CD37" s="44">
        <f>Data_SPC[[#This Row],[gen_wind]]/Data_SPC[[#This Row],[gen_total]]*100</f>
        <v>9.410963150484998E-2</v>
      </c>
      <c r="CE37" s="44">
        <f>Data_SPC[[#This Row],[gen_solar]]/Data_SPC[[#This Row],[gen_total]]*100</f>
        <v>0.14506348242770234</v>
      </c>
      <c r="CF37" s="44">
        <f>Data_SPC[[#This Row],[gen_other_re]]/Data_SPC[[#This Row],[gen_total]]*100</f>
        <v>2.2441651705565526E-3</v>
      </c>
      <c r="CG37" s="44">
        <f>Data_SPC[[#This Row],[gen_other]]/Data_SPC[[#This Row],[gen_total]]*100</f>
        <v>0</v>
      </c>
    </row>
    <row r="38" spans="1:85" s="42" customFormat="1" ht="25.4" customHeight="1" x14ac:dyDescent="0.25">
      <c r="A38" s="42" t="s">
        <v>90</v>
      </c>
      <c r="B38" s="42" t="s">
        <v>91</v>
      </c>
      <c r="C38" s="42" t="s">
        <v>92</v>
      </c>
      <c r="D38" s="23">
        <v>2023</v>
      </c>
      <c r="E38" s="23" t="b">
        <v>1</v>
      </c>
      <c r="F38" s="23" t="b">
        <v>1</v>
      </c>
      <c r="G38" s="23" t="b">
        <v>1</v>
      </c>
      <c r="H38" s="23" t="b">
        <v>0</v>
      </c>
      <c r="I38" s="43">
        <v>15317</v>
      </c>
      <c r="J38" s="24">
        <v>34.365000000000002</v>
      </c>
      <c r="K38" s="24">
        <v>1331144</v>
      </c>
      <c r="L38" s="24">
        <f>Data_SPC[[#This Row],[asset_local]]/Data_SPC[[#This Row],[exchange_rate_usd]]</f>
        <v>38735.457587661862</v>
      </c>
      <c r="M38" s="24">
        <f>(Data_SPC[[#This Row],[asset_local]]+K37)/2</f>
        <v>1327951</v>
      </c>
      <c r="N38" s="24">
        <f>Data_SPC[[#This Row],[avg_asset_local]]/Data_SPC[[#This Row],[exchange_rate_usd]]</f>
        <v>38642.543285319363</v>
      </c>
      <c r="O38" s="24">
        <v>762460</v>
      </c>
      <c r="P38" s="24">
        <f>Data_SPC[[#This Row],[liability_local]]/Data_SPC[[#This Row],[exchange_rate_usd]]</f>
        <v>22187.10897715699</v>
      </c>
      <c r="Q38" s="24">
        <v>568684</v>
      </c>
      <c r="R38" s="24">
        <f>Data_SPC[[#This Row],[equity_local]]/Data_SPC[[#This Row],[exchange_rate_usd]]</f>
        <v>16548.348610504872</v>
      </c>
      <c r="S38" s="24">
        <f>(Data_SPC[[#This Row],[equity_local]]+Q37)/2</f>
        <v>559133.5</v>
      </c>
      <c r="T38" s="24">
        <f>Data_SPC[[#This Row],[avg_equity_local]]/Data_SPC[[#This Row],[exchange_rate_usd]]</f>
        <v>16270.435035646733</v>
      </c>
      <c r="U38" s="24">
        <f>737424+3970+1267</f>
        <v>742661</v>
      </c>
      <c r="V38" s="24">
        <f>Data_SPC[[#This Row],[revenue_local]]/Data_SPC[[#This Row],[exchange_rate_usd]]</f>
        <v>21610.970464135018</v>
      </c>
      <c r="W38" s="24">
        <v>92672</v>
      </c>
      <c r="X38" s="24">
        <f>Data_SPC[[#This Row],[ebit_local]]/Data_SPC[[#This Row],[exchange_rate_usd]]</f>
        <v>2696.6972210097483</v>
      </c>
      <c r="Y38" s="24">
        <v>52568</v>
      </c>
      <c r="Z38" s="24">
        <f>Data_SPC[[#This Row],[net_profit_local]]/Data_SPC[[#This Row],[exchange_rate_usd]]</f>
        <v>1529.6959115379018</v>
      </c>
      <c r="AA38" s="24">
        <v>49896</v>
      </c>
      <c r="AB38" s="24">
        <f>Data_SPC[[#This Row],[ci_local]]/Data_SPC[[#This Row],[exchange_rate_usd]]</f>
        <v>1451.9423832387604</v>
      </c>
      <c r="AC38" s="24">
        <f>Data_SPC[[#This Row],[liability_local]]/Data_SPC[[#This Row],[asset_local]]*100</f>
        <v>57.278551381368203</v>
      </c>
      <c r="AD38" s="24">
        <f>Data_SPC[[#This Row],[ebit_local]]/Data_SPC[[#This Row],[revenue_local]]*100</f>
        <v>12.478371693141286</v>
      </c>
      <c r="AE38" s="24">
        <f>Data_SPC[[#This Row],[net_profit_local]]/Data_SPC[[#This Row],[avg_equity_local]]*100</f>
        <v>9.4016902939995557</v>
      </c>
      <c r="AF38" s="24">
        <f>Data_SPC[[#This Row],[net_profit_local]]/Data_SPC[[#This Row],[avg_asset_local]]*100</f>
        <v>3.9585797969955219</v>
      </c>
      <c r="AG38" s="24" t="s">
        <v>182</v>
      </c>
      <c r="AH38" s="24">
        <v>16.237024999999999</v>
      </c>
      <c r="AI38" s="24">
        <f>Data_SPC[[#This Row],[ic_oil]]+8.4+3.687</f>
        <v>12.1174</v>
      </c>
      <c r="AJ38" s="24">
        <v>3.04E-2</v>
      </c>
      <c r="AK38" s="24"/>
      <c r="AL38" s="24"/>
      <c r="AM38" s="24"/>
      <c r="AN38" s="24">
        <f>Data_SPC[[#This Row],[ic_h2o]]+0.133225</f>
        <v>4.1196250000000001</v>
      </c>
      <c r="AO38" s="24">
        <f>2.9864+1</f>
        <v>3.9864000000000002</v>
      </c>
      <c r="AP38" s="24"/>
      <c r="AQ38" s="24"/>
      <c r="AR38" s="24"/>
      <c r="AS38" s="24"/>
      <c r="AT38" s="44">
        <f>Data_SPC[[#This Row],[ic_total]]/Data_country!AC26*100</f>
        <v>28.835064819747831</v>
      </c>
      <c r="AU38" s="44">
        <f>Data_SPC[[#This Row],[ic_fossil]]/Data_country!AD26*100</f>
        <v>27.577150659990895</v>
      </c>
      <c r="AV38" s="44">
        <f>Data_SPC[[#This Row],[ic_fossil]]/Data_SPC[[#This Row],[ic_total]]*100</f>
        <v>74.628203134502783</v>
      </c>
      <c r="AW38" s="44">
        <f>Data_SPC[[#This Row],[ic_oil]]/Data_SPC[[#This Row],[ic_total]]*100</f>
        <v>0.1872264161692182</v>
      </c>
      <c r="AX38" s="44"/>
      <c r="AY38" s="44"/>
      <c r="AZ38" s="44"/>
      <c r="BA38" s="44">
        <f>Data_SPC[[#This Row],[ic_re]]/Data_country!AI26*100</f>
        <v>33.303354890865002</v>
      </c>
      <c r="BB38" s="44">
        <f>Data_SPC[[#This Row],[ic_re]]/Data_SPC[[#This Row],[ic_total]]*100</f>
        <v>25.37179686549722</v>
      </c>
      <c r="BC38" s="44">
        <f>Data_SPC[[#This Row],[ic_h2o]]/Data_SPC[[#This Row],[ic_total]]*100</f>
        <v>24.551295572926694</v>
      </c>
      <c r="BD38" s="44"/>
      <c r="BE38" s="44"/>
      <c r="BF38" s="44"/>
      <c r="BG38" s="44">
        <v>0</v>
      </c>
      <c r="BH38" s="24">
        <v>67.703739999999996</v>
      </c>
      <c r="BI38" s="24">
        <f>SUM(Data_SPC[[#This Row],[gen_oil]:[gen_coal]])</f>
        <v>60.985129999999998</v>
      </c>
      <c r="BJ38" s="24">
        <f>0.00942+0.84364</f>
        <v>0.85305999999999993</v>
      </c>
      <c r="BK38" s="24">
        <v>44.405059999999999</v>
      </c>
      <c r="BL38" s="24">
        <v>15.72701</v>
      </c>
      <c r="BM38" s="24">
        <v>0</v>
      </c>
      <c r="BN38" s="24">
        <f>SUM(Data_SPC[[#This Row],[gen_h2o]:[gen_other_re]])</f>
        <v>6.7186100000000017</v>
      </c>
      <c r="BO38" s="24">
        <f>0.13848+6.14421+0.27744</f>
        <v>6.5601300000000009</v>
      </c>
      <c r="BP38" s="24">
        <v>5.7070000000000003E-2</v>
      </c>
      <c r="BQ38" s="24">
        <v>0.10022</v>
      </c>
      <c r="BR38" s="24">
        <v>1.1900000000000001E-3</v>
      </c>
      <c r="BS38" s="24">
        <v>0</v>
      </c>
      <c r="BT38" s="44">
        <f>Data_SPC[[#This Row],[gen_total]]/Data_country!AZ26*100</f>
        <v>35.541886713213287</v>
      </c>
      <c r="BU38" s="44">
        <f>Data_SPC[[#This Row],[gen_fossil]]/Data_country!BA26*100</f>
        <v>37.944953957192631</v>
      </c>
      <c r="BV38" s="44">
        <f>Data_SPC[[#This Row],[gen_fossil]]/Data_SPC[[#This Row],[gen_total]]*100</f>
        <v>90.076456632971826</v>
      </c>
      <c r="BW38" s="44">
        <f>Data_SPC[[#This Row],[gen_oil]]/Data_SPC[[#This Row],[gen_total]]*100</f>
        <v>1.2599894776861662</v>
      </c>
      <c r="BX38" s="44">
        <f>Data_SPC[[#This Row],[gen_gas]]/Data_SPC[[#This Row],[gen_total]]*100</f>
        <v>65.587307289080343</v>
      </c>
      <c r="BY38" s="44">
        <f>Data_SPC[[#This Row],[gen_coal]]/Data_SPC[[#This Row],[gen_total]]*100</f>
        <v>23.229159866205322</v>
      </c>
      <c r="BZ38" s="44">
        <f>Data_SPC[[#This Row],[gen_nuc]]/Data_SPC[[#This Row],[gen_total]]*100</f>
        <v>0</v>
      </c>
      <c r="CA38" s="44">
        <f>Data_SPC[[#This Row],[gen_re]]/Data_country!BF26*100</f>
        <v>22.568390997648645</v>
      </c>
      <c r="CB38" s="44">
        <f>Data_SPC[[#This Row],[gen_re]]/Data_SPC[[#This Row],[gen_total]]*100</f>
        <v>9.9235433670281754</v>
      </c>
      <c r="CC38" s="44">
        <f>Data_SPC[[#This Row],[gen_h2o]]/Data_SPC[[#This Row],[gen_total]]*100</f>
        <v>9.6894647179018492</v>
      </c>
      <c r="CD38" s="44">
        <f>Data_SPC[[#This Row],[gen_wind]]/Data_SPC[[#This Row],[gen_total]]*100</f>
        <v>8.429371848586209E-2</v>
      </c>
      <c r="CE38" s="44">
        <f>Data_SPC[[#This Row],[gen_solar]]/Data_SPC[[#This Row],[gen_total]]*100</f>
        <v>0.148027272939427</v>
      </c>
      <c r="CF38" s="44">
        <f>Data_SPC[[#This Row],[gen_other_re]]/Data_SPC[[#This Row],[gen_total]]*100</f>
        <v>1.7576577010369001E-3</v>
      </c>
      <c r="CG38" s="44">
        <f>Data_SPC[[#This Row],[gen_other]]/Data_SPC[[#This Row],[gen_total]]*100</f>
        <v>0</v>
      </c>
    </row>
    <row r="39" spans="1:85" s="42" customFormat="1" ht="25.4" customHeight="1" x14ac:dyDescent="0.25">
      <c r="A39" s="42" t="s">
        <v>323</v>
      </c>
      <c r="B39" s="42" t="s">
        <v>340</v>
      </c>
      <c r="C39" s="42" t="s">
        <v>50</v>
      </c>
      <c r="D39" s="23">
        <v>2021</v>
      </c>
      <c r="E39" s="23" t="b">
        <v>0</v>
      </c>
      <c r="F39" s="23" t="b">
        <v>1</v>
      </c>
      <c r="G39" s="23" t="b">
        <v>0</v>
      </c>
      <c r="H39" s="23" t="b">
        <v>1</v>
      </c>
      <c r="I39" s="43">
        <v>5951</v>
      </c>
      <c r="J39" s="24">
        <v>13.45</v>
      </c>
      <c r="K39" s="24">
        <v>28708.693252739999</v>
      </c>
      <c r="L39" s="24">
        <f>Data_SPC[[#This Row],[asset_local]]/Data_SPC[[#This Row],[exchange_rate_usd]]</f>
        <v>2134.475334776208</v>
      </c>
      <c r="M39" s="24">
        <f>(Data_SPC[[#This Row],[asset_local]]+27139.72542258)/2</f>
        <v>27924.209337659999</v>
      </c>
      <c r="N39" s="24">
        <f>Data_SPC[[#This Row],[avg_asset_local]]/Data_SPC[[#This Row],[exchange_rate_usd]]</f>
        <v>2076.1493931345726</v>
      </c>
      <c r="O39" s="24">
        <f>7609.50502168+1201.50508986</f>
        <v>8811.0101115399993</v>
      </c>
      <c r="P39" s="24">
        <f>Data_SPC[[#This Row],[liability_local]]/Data_SPC[[#This Row],[exchange_rate_usd]]</f>
        <v>655.09368859033452</v>
      </c>
      <c r="Q39" s="24">
        <v>19897.683141199999</v>
      </c>
      <c r="R39" s="24">
        <f>Data_SPC[[#This Row],[equity_local]]/Data_SPC[[#This Row],[exchange_rate_usd]]</f>
        <v>1479.3816461858737</v>
      </c>
      <c r="S39" s="24">
        <f>(Data_SPC[[#This Row],[equity_local]]+20042.21888289)/2</f>
        <v>19969.951012045</v>
      </c>
      <c r="T39" s="24">
        <f>Data_SPC[[#This Row],[avg_equity_local]]/Data_SPC[[#This Row],[exchange_rate_usd]]</f>
        <v>1484.7547220851302</v>
      </c>
      <c r="U39" s="24">
        <v>26903.292345239999</v>
      </c>
      <c r="V39" s="24">
        <f>Data_SPC[[#This Row],[revenue_local]]/Data_SPC[[#This Row],[exchange_rate_usd]]</f>
        <v>2000.2447840327138</v>
      </c>
      <c r="W39" s="24">
        <v>-8384.4144471599993</v>
      </c>
      <c r="X39" s="24">
        <f>Data_SPC[[#This Row],[ebit_local]]/Data_SPC[[#This Row],[exchange_rate_usd]]</f>
        <v>-623.37653882230484</v>
      </c>
      <c r="Y39" s="24">
        <v>-7644.5357416899997</v>
      </c>
      <c r="Z39" s="24">
        <f>Data_SPC[[#This Row],[net_profit_local]]/Data_SPC[[#This Row],[exchange_rate_usd]]</f>
        <v>-568.36696964237922</v>
      </c>
      <c r="AA39" s="24"/>
      <c r="AB39" s="24"/>
      <c r="AC39" s="24">
        <f>Data_SPC[[#This Row],[liability_local]]/Data_SPC[[#This Row],[asset_local]]*100</f>
        <v>30.691087309238863</v>
      </c>
      <c r="AD39" s="24">
        <f>Data_SPC[[#This Row],[ebit_local]]/Data_SPC[[#This Row],[revenue_local]]*100</f>
        <v>-31.165012592384272</v>
      </c>
      <c r="AE39" s="24">
        <f>Data_SPC[[#This Row],[net_profit_local]]/Data_SPC[[#This Row],[avg_equity_local]]*100</f>
        <v>-38.28019276100953</v>
      </c>
      <c r="AF39" s="24">
        <f>Data_SPC[[#This Row],[net_profit_local]]/Data_SPC[[#This Row],[avg_asset_local]]*100</f>
        <v>-27.376015017120618</v>
      </c>
      <c r="AG39" s="24"/>
      <c r="AH39" s="24">
        <v>21.172000000000001</v>
      </c>
      <c r="AI39" s="24">
        <f>SUM(AJ39:AL39)</f>
        <v>7.3339999999999996</v>
      </c>
      <c r="AJ39" s="24">
        <v>0</v>
      </c>
      <c r="AK39" s="24">
        <v>4.91</v>
      </c>
      <c r="AL39" s="24">
        <v>2.4239999999999999</v>
      </c>
      <c r="AM39" s="24">
        <v>0</v>
      </c>
      <c r="AN39" s="24">
        <f>SUM(Data_SPC[[#This Row],[ic_h2o]:[ic_other_re]])</f>
        <v>13.837999999999999</v>
      </c>
      <c r="AO39" s="24">
        <v>13.821</v>
      </c>
      <c r="AP39" s="24">
        <v>1.7000000000000001E-2</v>
      </c>
      <c r="AQ39" s="24">
        <v>0</v>
      </c>
      <c r="AR39" s="24">
        <v>0</v>
      </c>
      <c r="AS39" s="24">
        <v>0</v>
      </c>
      <c r="AT39" s="44">
        <f>Data_SPC[[#This Row],[ic_total]]/Data_country!AC27*100</f>
        <v>20.968604536000797</v>
      </c>
      <c r="AU39" s="44">
        <f>Data_SPC[[#This Row],[ic_fossil]]/Data_country!AD27*100</f>
        <v>15.346306758736135</v>
      </c>
      <c r="AV39" s="44">
        <f>Data_SPC[[#This Row],[ic_fossil]]/Data_SPC[[#This Row],[ic_total]]*100</f>
        <v>34.640090685811451</v>
      </c>
      <c r="AW39" s="44">
        <f>Data_SPC[[#This Row],[ic_oil]]/Data_SPC[[#This Row],[ic_total]]*100</f>
        <v>0</v>
      </c>
      <c r="AX39" s="44">
        <f>Data_SPC[[#This Row],[ic_gas]]/Data_SPC[[#This Row],[ic_total]]*100</f>
        <v>23.191006990364631</v>
      </c>
      <c r="AY39" s="44">
        <f>Data_SPC[[#This Row],[ic_coal]]/Data_SPC[[#This Row],[ic_total]]*100</f>
        <v>11.449083695446816</v>
      </c>
      <c r="AZ39" s="44">
        <f>Data_SPC[[#This Row],[ic_nuc]]/Data_SPC[[#This Row],[ic_total]]*100</f>
        <v>0</v>
      </c>
      <c r="BA39" s="44">
        <f>Data_SPC[[#This Row],[ic_re]]/Data_country!AI27*100</f>
        <v>26.021060549078602</v>
      </c>
      <c r="BB39" s="44">
        <f>Data_SPC[[#This Row],[ic_re]]/Data_SPC[[#This Row],[ic_total]]*100</f>
        <v>65.359909314188542</v>
      </c>
      <c r="BC39" s="44">
        <f>Data_SPC[[#This Row],[ic_h2o]]/Data_SPC[[#This Row],[ic_total]]*100</f>
        <v>65.279614585301331</v>
      </c>
      <c r="BD39" s="44">
        <f>Data_SPC[[#This Row],[ic_wind]]/Data_SPC[[#This Row],[ic_total]]*100</f>
        <v>8.0294728887209524E-2</v>
      </c>
      <c r="BE39" s="44">
        <f>Data_SPC[[#This Row],[ic_solar]]/Data_SPC[[#This Row],[ic_total]]*100</f>
        <v>0</v>
      </c>
      <c r="BF39" s="44">
        <f>Data_SPC[[#This Row],[ic_other_re]]/Data_SPC[[#This Row],[ic_total]]*100</f>
        <v>0</v>
      </c>
      <c r="BG39" s="44">
        <f>Data_SPC[[#This Row],[ic_other]]/Data_SPC[[#This Row],[ic_total]]*100</f>
        <v>0</v>
      </c>
      <c r="BH39" s="24">
        <v>53.523527999999999</v>
      </c>
      <c r="BI39" s="24">
        <f>SUM(Data_SPC[[#This Row],[gen_oil]:[gen_coal]])</f>
        <v>27.889928999999999</v>
      </c>
      <c r="BJ39" s="24">
        <v>0</v>
      </c>
      <c r="BK39" s="24">
        <v>22.699180999999999</v>
      </c>
      <c r="BL39" s="24">
        <v>5.1907480000000001</v>
      </c>
      <c r="BM39" s="24">
        <v>0</v>
      </c>
      <c r="BN39" s="24">
        <f>SUM(Data_SPC[[#This Row],[gen_h2o]:[gen_other_re]])</f>
        <v>25.633599</v>
      </c>
      <c r="BO39" s="24">
        <v>25.596608</v>
      </c>
      <c r="BP39" s="24">
        <v>3.6991000000000003E-2</v>
      </c>
      <c r="BQ39" s="24">
        <v>0</v>
      </c>
      <c r="BR39" s="24">
        <v>0</v>
      </c>
      <c r="BS39" s="24">
        <v>0</v>
      </c>
      <c r="BT39" s="44">
        <f>Data_SPC[[#This Row],[gen_total]]/Data_country!AZ27*100</f>
        <v>16.324121019885325</v>
      </c>
      <c r="BU39" s="44">
        <f>Data_SPC[[#This Row],[gen_fossil]]/Data_country!BA27*100</f>
        <v>13.167427883480476</v>
      </c>
      <c r="BV39" s="44">
        <f>Data_SPC[[#This Row],[gen_fossil]]/Data_SPC[[#This Row],[gen_total]]*100</f>
        <v>52.107792670169275</v>
      </c>
      <c r="BW39" s="44">
        <f>Data_SPC[[#This Row],[gen_oil]]/Data_SPC[[#This Row],[gen_total]]*100</f>
        <v>0</v>
      </c>
      <c r="BX39" s="44">
        <f>Data_SPC[[#This Row],[gen_gas]]/Data_SPC[[#This Row],[gen_total]]*100</f>
        <v>42.4097249344251</v>
      </c>
      <c r="BY39" s="44">
        <f>Data_SPC[[#This Row],[gen_coal]]/Data_SPC[[#This Row],[gen_total]]*100</f>
        <v>9.6980677357441749</v>
      </c>
      <c r="BZ39" s="44">
        <f>Data_SPC[[#This Row],[gen_nuc]]/Data_SPC[[#This Row],[gen_total]]*100</f>
        <v>0</v>
      </c>
      <c r="CA39" s="44">
        <f>Data_SPC[[#This Row],[gen_re]]/Data_country!BF27*100</f>
        <v>22.08460325665547</v>
      </c>
      <c r="CB39" s="44">
        <f>Data_SPC[[#This Row],[gen_re]]/Data_SPC[[#This Row],[gen_total]]*100</f>
        <v>47.892207329830725</v>
      </c>
      <c r="CC39" s="44">
        <f>Data_SPC[[#This Row],[gen_h2o]]/Data_SPC[[#This Row],[gen_total]]*100</f>
        <v>47.823095667385751</v>
      </c>
      <c r="CD39" s="44">
        <f>Data_SPC[[#This Row],[gen_wind]]/Data_SPC[[#This Row],[gen_total]]*100</f>
        <v>6.9111662444971869E-2</v>
      </c>
      <c r="CE39" s="44">
        <f>Data_SPC[[#This Row],[gen_solar]]/Data_SPC[[#This Row],[gen_total]]*100</f>
        <v>0</v>
      </c>
      <c r="CF39" s="44">
        <f>Data_SPC[[#This Row],[gen_other_re]]/Data_SPC[[#This Row],[gen_total]]*100</f>
        <v>0</v>
      </c>
      <c r="CG39" s="44">
        <f>Data_SPC[[#This Row],[gen_other]]/Data_SPC[[#This Row],[gen_total]]*100</f>
        <v>0</v>
      </c>
    </row>
    <row r="40" spans="1:85" s="42" customFormat="1" ht="25.4" customHeight="1" x14ac:dyDescent="0.25">
      <c r="A40" s="42" t="s">
        <v>323</v>
      </c>
      <c r="B40" s="42" t="s">
        <v>340</v>
      </c>
      <c r="C40" s="42" t="s">
        <v>50</v>
      </c>
      <c r="D40" s="23">
        <v>2022</v>
      </c>
      <c r="E40" s="23" t="b">
        <v>0</v>
      </c>
      <c r="F40" s="23" t="b">
        <v>1</v>
      </c>
      <c r="G40" s="23" t="b">
        <v>0</v>
      </c>
      <c r="H40" s="23" t="b">
        <v>1</v>
      </c>
      <c r="I40" s="43">
        <v>5823</v>
      </c>
      <c r="J40" s="24">
        <v>18.718</v>
      </c>
      <c r="K40" s="24">
        <v>83534.630922280005</v>
      </c>
      <c r="L40" s="24">
        <f>Data_SPC[[#This Row],[asset_local]]/Data_SPC[[#This Row],[exchange_rate_usd]]</f>
        <v>4462.7968224318838</v>
      </c>
      <c r="M40" s="24">
        <f>(Data_SPC[[#This Row],[asset_local]]+K39)/2</f>
        <v>56121.662087510005</v>
      </c>
      <c r="N40" s="24">
        <f>Data_SPC[[#This Row],[avg_asset_local]]/Data_SPC[[#This Row],[exchange_rate_usd]]</f>
        <v>2998.2723628331023</v>
      </c>
      <c r="O40" s="24">
        <f>45529.176788+737.52685789</f>
        <v>46266.703645889997</v>
      </c>
      <c r="P40" s="24">
        <f>Data_SPC[[#This Row],[liability_local]]/Data_SPC[[#This Row],[exchange_rate_usd]]</f>
        <v>2471.7760255310395</v>
      </c>
      <c r="Q40" s="24">
        <v>37267.927276390001</v>
      </c>
      <c r="R40" s="24">
        <f>Data_SPC[[#This Row],[equity_local]]/Data_SPC[[#This Row],[exchange_rate_usd]]</f>
        <v>1991.0207969008441</v>
      </c>
      <c r="S40" s="24">
        <f>(Data_SPC[[#This Row],[equity_local]]+Q39)/2</f>
        <v>28582.805208794998</v>
      </c>
      <c r="T40" s="24">
        <f>Data_SPC[[#This Row],[avg_equity_local]]/Data_SPC[[#This Row],[exchange_rate_usd]]</f>
        <v>1527.0223960249491</v>
      </c>
      <c r="U40" s="24">
        <v>110689.79270578999</v>
      </c>
      <c r="V40" s="24">
        <f>Data_SPC[[#This Row],[revenue_local]]/Data_SPC[[#This Row],[exchange_rate_usd]]</f>
        <v>5913.548066342023</v>
      </c>
      <c r="W40" s="24">
        <v>983.47218051000004</v>
      </c>
      <c r="X40" s="24">
        <f>Data_SPC[[#This Row],[ebit_local]]/Data_SPC[[#This Row],[exchange_rate_usd]]</f>
        <v>52.54152048883428</v>
      </c>
      <c r="Y40" s="24">
        <v>1956.69513519</v>
      </c>
      <c r="Z40" s="24">
        <f>Data_SPC[[#This Row],[net_profit_local]]/Data_SPC[[#This Row],[exchange_rate_usd]]</f>
        <v>104.5354810978737</v>
      </c>
      <c r="AA40" s="24"/>
      <c r="AB40" s="24"/>
      <c r="AC40" s="24">
        <f>Data_SPC[[#This Row],[liability_local]]/Data_SPC[[#This Row],[asset_local]]*100</f>
        <v>55.386254940105253</v>
      </c>
      <c r="AD40" s="24">
        <f>Data_SPC[[#This Row],[ebit_local]]/Data_SPC[[#This Row],[revenue_local]]*100</f>
        <v>0.88849401238291081</v>
      </c>
      <c r="AE40" s="24">
        <f>Data_SPC[[#This Row],[net_profit_local]]/Data_SPC[[#This Row],[avg_equity_local]]*100</f>
        <v>6.8457071336998094</v>
      </c>
      <c r="AF40" s="24">
        <f>Data_SPC[[#This Row],[net_profit_local]]/Data_SPC[[#This Row],[avg_asset_local]]*100</f>
        <v>3.4865238526595004</v>
      </c>
      <c r="AG40" s="24"/>
      <c r="AH40" s="24">
        <v>21.170200000000001</v>
      </c>
      <c r="AI40" s="24">
        <f>SUM(AJ40:AL40)</f>
        <v>7.3339999999999996</v>
      </c>
      <c r="AJ40" s="24">
        <v>0</v>
      </c>
      <c r="AK40" s="24">
        <v>4.91</v>
      </c>
      <c r="AL40" s="24">
        <v>2.4239999999999999</v>
      </c>
      <c r="AM40" s="24">
        <v>0</v>
      </c>
      <c r="AN40" s="24">
        <f>SUM(Data_SPC[[#This Row],[ic_h2o]:[ic_other_re]])</f>
        <v>13.8353</v>
      </c>
      <c r="AO40" s="24">
        <v>13.8179</v>
      </c>
      <c r="AP40" s="24">
        <v>1.7399999999999999E-2</v>
      </c>
      <c r="AQ40" s="24">
        <v>0</v>
      </c>
      <c r="AR40" s="24">
        <v>0</v>
      </c>
      <c r="AS40" s="24">
        <v>0</v>
      </c>
      <c r="AT40" s="44">
        <f>Data_SPC[[#This Row],[ic_total]]/Data_country!AC28*100</f>
        <v>20.139079147640793</v>
      </c>
      <c r="AU40" s="44">
        <f>Data_SPC[[#This Row],[ic_fossil]]/Data_country!AD28*100</f>
        <v>14.918633034987797</v>
      </c>
      <c r="AV40" s="44">
        <f>Data_SPC[[#This Row],[ic_fossil]]/Data_SPC[[#This Row],[ic_total]]*100</f>
        <v>34.64303596564983</v>
      </c>
      <c r="AW40" s="44">
        <f>Data_SPC[[#This Row],[ic_oil]]/Data_SPC[[#This Row],[ic_total]]*100</f>
        <v>0</v>
      </c>
      <c r="AX40" s="44">
        <f>Data_SPC[[#This Row],[ic_gas]]/Data_SPC[[#This Row],[ic_total]]*100</f>
        <v>23.192978809836468</v>
      </c>
      <c r="AY40" s="44">
        <f>Data_SPC[[#This Row],[ic_coal]]/Data_SPC[[#This Row],[ic_total]]*100</f>
        <v>11.45005715581336</v>
      </c>
      <c r="AZ40" s="44">
        <f>Data_SPC[[#This Row],[ic_nuc]]/Data_SPC[[#This Row],[ic_total]]*100</f>
        <v>0</v>
      </c>
      <c r="BA40" s="44">
        <f>Data_SPC[[#This Row],[ic_re]]/Data_country!AI28*100</f>
        <v>24.723552537526807</v>
      </c>
      <c r="BB40" s="44">
        <f>Data_SPC[[#This Row],[ic_re]]/Data_SPC[[#This Row],[ic_total]]*100</f>
        <v>65.352712775505182</v>
      </c>
      <c r="BC40" s="44">
        <f>Data_SPC[[#This Row],[ic_h2o]]/Data_SPC[[#This Row],[ic_total]]*100</f>
        <v>65.270521771168902</v>
      </c>
      <c r="BD40" s="44">
        <f>Data_SPC[[#This Row],[ic_wind]]/Data_SPC[[#This Row],[ic_total]]*100</f>
        <v>8.2191004336284013E-2</v>
      </c>
      <c r="BE40" s="44">
        <f>Data_SPC[[#This Row],[ic_solar]]/Data_SPC[[#This Row],[ic_total]]*100</f>
        <v>0</v>
      </c>
      <c r="BF40" s="44">
        <f>Data_SPC[[#This Row],[ic_other_re]]/Data_SPC[[#This Row],[ic_total]]*100</f>
        <v>0</v>
      </c>
      <c r="BG40" s="44">
        <f>Data_SPC[[#This Row],[ic_other]]/Data_SPC[[#This Row],[ic_total]]*100</f>
        <v>0</v>
      </c>
      <c r="BH40" s="24">
        <v>46.971257999999999</v>
      </c>
      <c r="BI40" s="24">
        <f>SUM(Data_SPC[[#This Row],[gen_oil]:[gen_coal]])</f>
        <v>20.388582</v>
      </c>
      <c r="BJ40" s="24">
        <v>0</v>
      </c>
      <c r="BK40" s="24">
        <v>13.191947000000001</v>
      </c>
      <c r="BL40" s="24">
        <v>7.1966349999999997</v>
      </c>
      <c r="BM40" s="24">
        <v>0</v>
      </c>
      <c r="BN40" s="24">
        <f>SUM(Data_SPC[[#This Row],[gen_h2o]:[gen_other_re]])</f>
        <v>26.582675999999999</v>
      </c>
      <c r="BO40" s="24">
        <v>26.548556999999999</v>
      </c>
      <c r="BP40" s="24">
        <v>3.4118999999999997E-2</v>
      </c>
      <c r="BQ40" s="24">
        <v>0</v>
      </c>
      <c r="BR40" s="24">
        <v>0</v>
      </c>
      <c r="BS40" s="24">
        <v>0</v>
      </c>
      <c r="BT40" s="44">
        <f>Data_SPC[[#This Row],[gen_total]]/Data_country!AZ28*100</f>
        <v>14.652875592712752</v>
      </c>
      <c r="BU40" s="44">
        <f>Data_SPC[[#This Row],[gen_fossil]]/Data_country!BA28*100</f>
        <v>10.949241179313677</v>
      </c>
      <c r="BV40" s="44">
        <f>Data_SPC[[#This Row],[gen_fossil]]/Data_SPC[[#This Row],[gen_total]]*100</f>
        <v>43.40650616596217</v>
      </c>
      <c r="BW40" s="44">
        <f>Data_SPC[[#This Row],[gen_oil]]/Data_SPC[[#This Row],[gen_total]]*100</f>
        <v>0</v>
      </c>
      <c r="BX40" s="44">
        <f>Data_SPC[[#This Row],[gen_gas]]/Data_SPC[[#This Row],[gen_total]]*100</f>
        <v>28.085147304336623</v>
      </c>
      <c r="BY40" s="44">
        <f>Data_SPC[[#This Row],[gen_coal]]/Data_SPC[[#This Row],[gen_total]]*100</f>
        <v>15.32135886162555</v>
      </c>
      <c r="BZ40" s="44">
        <f>Data_SPC[[#This Row],[gen_nuc]]/Data_SPC[[#This Row],[gen_total]]*100</f>
        <v>0</v>
      </c>
      <c r="CA40" s="44">
        <f>Data_SPC[[#This Row],[gen_re]]/Data_country!BF28*100</f>
        <v>19.786137700037216</v>
      </c>
      <c r="CB40" s="44">
        <f>Data_SPC[[#This Row],[gen_re]]/Data_SPC[[#This Row],[gen_total]]*100</f>
        <v>56.593493834037822</v>
      </c>
      <c r="CC40" s="44">
        <f>Data_SPC[[#This Row],[gen_h2o]]/Data_SPC[[#This Row],[gen_total]]*100</f>
        <v>56.520855796538385</v>
      </c>
      <c r="CD40" s="44">
        <f>Data_SPC[[#This Row],[gen_wind]]/Data_SPC[[#This Row],[gen_total]]*100</f>
        <v>7.263803749944274E-2</v>
      </c>
      <c r="CE40" s="44">
        <f>Data_SPC[[#This Row],[gen_solar]]/Data_SPC[[#This Row],[gen_total]]*100</f>
        <v>0</v>
      </c>
      <c r="CF40" s="44">
        <f>Data_SPC[[#This Row],[gen_other_re]]/Data_SPC[[#This Row],[gen_total]]*100</f>
        <v>0</v>
      </c>
      <c r="CG40" s="44">
        <f>Data_SPC[[#This Row],[gen_other]]/Data_SPC[[#This Row],[gen_total]]*100</f>
        <v>0</v>
      </c>
    </row>
    <row r="41" spans="1:85" s="42" customFormat="1" ht="25.4" customHeight="1" x14ac:dyDescent="0.25">
      <c r="A41" s="42" t="s">
        <v>323</v>
      </c>
      <c r="B41" s="42" t="s">
        <v>340</v>
      </c>
      <c r="C41" s="42" t="s">
        <v>50</v>
      </c>
      <c r="D41" s="23">
        <v>2023</v>
      </c>
      <c r="E41" s="23" t="b">
        <v>0</v>
      </c>
      <c r="F41" s="23" t="b">
        <v>1</v>
      </c>
      <c r="G41" s="23" t="b">
        <v>0</v>
      </c>
      <c r="H41" s="23" t="b">
        <v>1</v>
      </c>
      <c r="I41" s="43">
        <v>5621</v>
      </c>
      <c r="J41" s="24">
        <v>29.55</v>
      </c>
      <c r="K41" s="24">
        <v>106897.19662179</v>
      </c>
      <c r="L41" s="24">
        <f>Data_SPC[[#This Row],[asset_local]]/Data_SPC[[#This Row],[exchange_rate_usd]]</f>
        <v>3617.5024237492385</v>
      </c>
      <c r="M41" s="24">
        <f>(Data_SPC[[#This Row],[asset_local]]+K40)/2</f>
        <v>95215.913772035012</v>
      </c>
      <c r="N41" s="24">
        <f>Data_SPC[[#This Row],[avg_asset_local]]/Data_SPC[[#This Row],[exchange_rate_usd]]</f>
        <v>3222.1967435544843</v>
      </c>
      <c r="O41" s="24">
        <f>54312.03597576+766.59747391</f>
        <v>55078.63344967</v>
      </c>
      <c r="P41" s="24">
        <f>Data_SPC[[#This Row],[liability_local]]/Data_SPC[[#This Row],[exchange_rate_usd]]</f>
        <v>1863.9131455049069</v>
      </c>
      <c r="Q41" s="24">
        <v>51818.563172119997</v>
      </c>
      <c r="R41" s="24">
        <f>Data_SPC[[#This Row],[equity_local]]/Data_SPC[[#This Row],[exchange_rate_usd]]</f>
        <v>1753.5892782443316</v>
      </c>
      <c r="S41" s="24">
        <f>(Data_SPC[[#This Row],[equity_local]]+Q40)/2</f>
        <v>44543.245224254999</v>
      </c>
      <c r="T41" s="24">
        <f>Data_SPC[[#This Row],[avg_equity_local]]/Data_SPC[[#This Row],[exchange_rate_usd]]</f>
        <v>1507.3856251862944</v>
      </c>
      <c r="U41" s="24">
        <v>155685.88231859001</v>
      </c>
      <c r="V41" s="24">
        <f>Data_SPC[[#This Row],[revenue_local]]/Data_SPC[[#This Row],[exchange_rate_usd]]</f>
        <v>5268.5577772788492</v>
      </c>
      <c r="W41" s="24">
        <v>14700.47454947</v>
      </c>
      <c r="X41" s="24">
        <f>Data_SPC[[#This Row],[ebit_local]]/Data_SPC[[#This Row],[exchange_rate_usd]]</f>
        <v>497.47798813773267</v>
      </c>
      <c r="Y41" s="24">
        <v>11689.184895730001</v>
      </c>
      <c r="Z41" s="24">
        <f>Data_SPC[[#This Row],[net_profit_local]]/Data_SPC[[#This Row],[exchange_rate_usd]]</f>
        <v>395.57309291810492</v>
      </c>
      <c r="AA41" s="24"/>
      <c r="AB41" s="24"/>
      <c r="AC41" s="24">
        <f>Data_SPC[[#This Row],[liability_local]]/Data_SPC[[#This Row],[asset_local]]*100</f>
        <v>51.524862382071788</v>
      </c>
      <c r="AD41" s="24">
        <f>Data_SPC[[#This Row],[ebit_local]]/Data_SPC[[#This Row],[revenue_local]]*100</f>
        <v>9.4423940890076832</v>
      </c>
      <c r="AE41" s="24">
        <f>Data_SPC[[#This Row],[net_profit_local]]/Data_SPC[[#This Row],[avg_equity_local]]*100</f>
        <v>26.242328857900375</v>
      </c>
      <c r="AF41" s="24">
        <f>Data_SPC[[#This Row],[net_profit_local]]/Data_SPC[[#This Row],[avg_asset_local]]*100</f>
        <v>12.276503404374326</v>
      </c>
      <c r="AG41" s="24"/>
      <c r="AH41" s="24">
        <v>21.535399999999999</v>
      </c>
      <c r="AI41" s="24">
        <f t="shared" ref="AI41" si="0">SUM(AJ41:AL41)</f>
        <v>7.3339999999999996</v>
      </c>
      <c r="AJ41" s="24">
        <v>0</v>
      </c>
      <c r="AK41" s="24">
        <v>4.91</v>
      </c>
      <c r="AL41" s="24">
        <v>2.4239999999999999</v>
      </c>
      <c r="AM41" s="24">
        <v>0</v>
      </c>
      <c r="AN41" s="24">
        <f>SUM(Data_SPC[[#This Row],[ic_h2o]:[ic_other_re]])</f>
        <v>14.2004</v>
      </c>
      <c r="AO41" s="24">
        <v>14.183</v>
      </c>
      <c r="AP41" s="24">
        <v>1.7399999999999999E-2</v>
      </c>
      <c r="AQ41" s="24">
        <v>0</v>
      </c>
      <c r="AR41" s="24">
        <v>0</v>
      </c>
      <c r="AS41" s="24">
        <v>0</v>
      </c>
      <c r="AT41" s="44">
        <f>Data_SPC[[#This Row],[ic_total]]/Data_country!AC29*100</f>
        <v>20.008733624454145</v>
      </c>
      <c r="AU41" s="44">
        <f>Data_SPC[[#This Row],[ic_fossil]]/Data_country!AD29*100</f>
        <v>14.918633034987797</v>
      </c>
      <c r="AV41" s="44">
        <f>Data_SPC[[#This Row],[ic_fossil]]/Data_SPC[[#This Row],[ic_total]]*100</f>
        <v>34.055555039609203</v>
      </c>
      <c r="AW41" s="44">
        <f>Data_SPC[[#This Row],[ic_oil]]/Data_SPC[[#This Row],[ic_total]]*100</f>
        <v>0</v>
      </c>
      <c r="AX41" s="44">
        <f>Data_SPC[[#This Row],[ic_gas]]/Data_SPC[[#This Row],[ic_total]]*100</f>
        <v>22.799669381576383</v>
      </c>
      <c r="AY41" s="44">
        <f>Data_SPC[[#This Row],[ic_coal]]/Data_SPC[[#This Row],[ic_total]]*100</f>
        <v>11.25588565803282</v>
      </c>
      <c r="AZ41" s="44">
        <f>Data_SPC[[#This Row],[ic_nuc]]/Data_SPC[[#This Row],[ic_total]]*100</f>
        <v>0</v>
      </c>
      <c r="BA41" s="44">
        <f>Data_SPC[[#This Row],[ic_re]]/Data_country!AI29*100</f>
        <v>24.286642722763808</v>
      </c>
      <c r="BB41" s="44">
        <f>Data_SPC[[#This Row],[ic_re]]/Data_SPC[[#This Row],[ic_total]]*100</f>
        <v>65.939801443205141</v>
      </c>
      <c r="BC41" s="44">
        <f>Data_SPC[[#This Row],[ic_h2o]]/Data_SPC[[#This Row],[ic_total]]*100</f>
        <v>65.859004244174713</v>
      </c>
      <c r="BD41" s="44">
        <f>Data_SPC[[#This Row],[ic_wind]]/Data_SPC[[#This Row],[ic_total]]*100</f>
        <v>8.0797199030433614E-2</v>
      </c>
      <c r="BE41" s="44">
        <f>Data_SPC[[#This Row],[ic_solar]]/Data_SPC[[#This Row],[ic_total]]*100</f>
        <v>0</v>
      </c>
      <c r="BF41" s="44">
        <f>Data_SPC[[#This Row],[ic_other_re]]/Data_SPC[[#This Row],[ic_total]]*100</f>
        <v>0</v>
      </c>
      <c r="BG41" s="44">
        <f>Data_SPC[[#This Row],[ic_other]]/Data_SPC[[#This Row],[ic_total]]*100</f>
        <v>0</v>
      </c>
      <c r="BH41" s="24">
        <v>44.256999999999998</v>
      </c>
      <c r="BI41" s="24">
        <f>SUM(Data_SPC[[#This Row],[gen_oil]:[gen_coal]])</f>
        <v>17.651</v>
      </c>
      <c r="BJ41" s="24">
        <v>0</v>
      </c>
      <c r="BK41" s="24">
        <v>10.981999999999999</v>
      </c>
      <c r="BL41" s="24">
        <v>6.6689999999999996</v>
      </c>
      <c r="BM41" s="24">
        <v>0</v>
      </c>
      <c r="BN41" s="24">
        <f>SUM(Data_SPC[[#This Row],[gen_h2o]:[gen_other_re]])</f>
        <v>26.605</v>
      </c>
      <c r="BO41" s="24">
        <v>26.577999999999999</v>
      </c>
      <c r="BP41" s="24">
        <v>2.7E-2</v>
      </c>
      <c r="BQ41" s="24">
        <v>0</v>
      </c>
      <c r="BR41" s="24">
        <v>0</v>
      </c>
      <c r="BS41" s="24">
        <v>0</v>
      </c>
      <c r="BT41" s="44">
        <f>Data_SPC[[#This Row],[gen_total]]/Data_country!AZ29*100</f>
        <v>13.839394602708024</v>
      </c>
      <c r="BU41" s="44">
        <f>Data_SPC[[#This Row],[gen_fossil]]/Data_country!BA29*100</f>
        <v>9.517929361013751</v>
      </c>
      <c r="BV41" s="44">
        <f>Data_SPC[[#This Row],[gen_fossil]]/Data_SPC[[#This Row],[gen_total]]*100</f>
        <v>39.882956368484088</v>
      </c>
      <c r="BW41" s="44">
        <f>Data_SPC[[#This Row],[gen_oil]]/Data_SPC[[#This Row],[gen_total]]*100</f>
        <v>0</v>
      </c>
      <c r="BX41" s="44">
        <f>Data_SPC[[#This Row],[gen_gas]]/Data_SPC[[#This Row],[gen_total]]*100</f>
        <v>24.814153693201074</v>
      </c>
      <c r="BY41" s="44">
        <f>Data_SPC[[#This Row],[gen_coal]]/Data_SPC[[#This Row],[gen_total]]*100</f>
        <v>15.068802675283004</v>
      </c>
      <c r="BZ41" s="44">
        <f>Data_SPC[[#This Row],[gen_nuc]]/Data_SPC[[#This Row],[gen_total]]*100</f>
        <v>0</v>
      </c>
      <c r="CA41" s="44">
        <f>Data_SPC[[#This Row],[gen_re]]/Data_country!BF29*100</f>
        <v>19.804228078011015</v>
      </c>
      <c r="CB41" s="44">
        <f>Data_SPC[[#This Row],[gen_re]]/Data_SPC[[#This Row],[gen_total]]*100</f>
        <v>60.114784101949979</v>
      </c>
      <c r="CC41" s="44">
        <f>Data_SPC[[#This Row],[gen_h2o]]/Data_SPC[[#This Row],[gen_total]]*100</f>
        <v>60.053776803669479</v>
      </c>
      <c r="CD41" s="44">
        <f>Data_SPC[[#This Row],[gen_wind]]/Data_SPC[[#This Row],[gen_total]]*100</f>
        <v>6.1007298280498001E-2</v>
      </c>
      <c r="CE41" s="44">
        <f>Data_SPC[[#This Row],[gen_solar]]/Data_SPC[[#This Row],[gen_total]]*100</f>
        <v>0</v>
      </c>
      <c r="CF41" s="44">
        <f>Data_SPC[[#This Row],[gen_other_re]]/Data_SPC[[#This Row],[gen_total]]*100</f>
        <v>0</v>
      </c>
      <c r="CG41" s="44">
        <f>Data_SPC[[#This Row],[gen_other]]/Data_SPC[[#This Row],[gen_total]]*100</f>
        <v>0</v>
      </c>
    </row>
  </sheetData>
  <phoneticPr fontId="44" type="noConversion"/>
  <hyperlinks>
    <hyperlink ref="A1" location="Table_of_contents!A1" display="← Return" xr:uid="{F77D0D0C-B616-40A4-A93A-5F3B9CB3537B}"/>
  </hyperlinks>
  <pageMargins left="0.7" right="0.7" top="0.75" bottom="0.75" header="0.3" footer="0.3"/>
  <pageSetup paperSize="9" orientation="portrait" r:id="rId1"/>
  <ignoredErrors>
    <ignoredError sqref="AU6:AU7 AU12:AU26 AU36:AU41 BG36:BG38 AU33:AU34 AU8:AU11 AU29:AU31 AU27:AU28 AW27 BI24:BI26 BI15:BI17 BI11:BI13 BI3:BI8 BT6:BT23 BT24:BT26 BT27:BT31 BT33:BT34 BT36:BT41 CA6:CA10 CA33:CA34 CA36:CA41 CA12:CA13 CA18:CA31 S3:S5 AE3 S18:S23 S24:S41 S6:S17" calculatedColumn="1"/>
    <ignoredError sqref="M39 M36 M30 M27 M24 M21 M18 M15 M12 M9 M6" 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D a t a M a s h u p   x m l n s = " h t t p : / / s c h e m a s . m i c r o s o f t . c o m / D a t a M a s h u p " > A A A A A B Q D A A B Q S w M E F A A C A A g A W W k O W f 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W W k O 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l p D l k o i k e 4 D g A A A B E A A A A T A B w A R m 9 y b X V s Y X M v U 2 V j d G l v b j E u b S C i G A A o o B Q A A A A A A A A A A A A A A A A A A A A A A A A A A A A r T k 0 u y c z P U w i G 0 I b W A F B L A Q I t A B Q A A g A I A F l p D l n x a t + y p A A A A P Y A A A A S A A A A A A A A A A A A A A A A A A A A A A B D b 2 5 m a W c v U G F j a 2 F n Z S 5 4 b W x Q S w E C L Q A U A A I A C A B Z a Q 5 Z D 8 r p q 6 Q A A A D p A A A A E w A A A A A A A A A A A A A A A A D w A A A A W 0 N v b n R l b n R f V H l w Z X N d L n h t b F B L A Q I t A B Q A A g A I A F l p D 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U g P z m s y 9 Y T q J Q b Y a K F L K 5 A A A A A A I A A A A A A B B m A A A A A Q A A I A A A A N e a t O 6 s 8 S / J D W o k f G t v v b p 1 P 4 C N Q D V F p O U k s K G f 6 S d q A A A A A A 6 A A A A A A g A A I A A A A J T v 5 z k 7 b + S h k L h f B s o 8 N 0 N p r V E g 2 o p G X r A N i t 7 C 1 P w r U A A A A E 9 d V t 3 o 3 N o N i 6 g W X b H D / Y F c N 8 T D A r O x X G M v f Y T R M Q x d 7 s / Y j f 4 6 q 9 f c 0 / + Q D Y M 7 y p + 4 Z j u e K B + c B E Z V Z w Z 3 V + 1 P Q n v 7 9 T l L i l 4 T j t U X m e z r Q A A A A N B W 1 a a x q n r H Q 7 B D o E I j F 7 a i A j y v m G 9 k m c X p 2 y o d 1 Q O n / J e A 9 e a G / 7 U U O 8 c T T h u z v f 7 6 S C q w Z U w 6 I 9 B G X + z U 9 m 0 = < / 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1222BD33F7E14E96D1D1B8D9059606" ma:contentTypeVersion="15" ma:contentTypeDescription="Create a new document." ma:contentTypeScope="" ma:versionID="7e2b4b9be9f2fe15be4fdcda8a079e82">
  <xsd:schema xmlns:xsd="http://www.w3.org/2001/XMLSchema" xmlns:xs="http://www.w3.org/2001/XMLSchema" xmlns:p="http://schemas.microsoft.com/office/2006/metadata/properties" xmlns:ns2="68a87dda-37f2-45bd-ad8c-4d12e0426bf3" xmlns:ns3="deeed4ca-fc60-403c-b0dc-ca75a8a1cbb3" targetNamespace="http://schemas.microsoft.com/office/2006/metadata/properties" ma:root="true" ma:fieldsID="e6358d95afe83e8da8c011f337a9fe27" ns2:_="" ns3:_="">
    <xsd:import namespace="68a87dda-37f2-45bd-ad8c-4d12e0426bf3"/>
    <xsd:import namespace="deeed4ca-fc60-403c-b0dc-ca75a8a1cb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87dda-37f2-45bd-ad8c-4d12e0426b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05263ee-82d5-4f77-a1b4-e5495a005cc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eed4ca-fc60-403c-b0dc-ca75a8a1cbb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B03F3C-7225-456F-B156-16843741248A}">
  <ds:schemaRefs>
    <ds:schemaRef ds:uri="http://schemas.microsoft.com/DataMashup"/>
  </ds:schemaRefs>
</ds:datastoreItem>
</file>

<file path=customXml/itemProps2.xml><?xml version="1.0" encoding="utf-8"?>
<ds:datastoreItem xmlns:ds="http://schemas.openxmlformats.org/officeDocument/2006/customXml" ds:itemID="{00EBFFB4-EE2E-479E-9C73-09EA5C485562}">
  <ds:schemaRefs>
    <ds:schemaRef ds:uri="http://schemas.microsoft.com/sharepoint/v3/contenttype/forms"/>
  </ds:schemaRefs>
</ds:datastoreItem>
</file>

<file path=customXml/itemProps3.xml><?xml version="1.0" encoding="utf-8"?>
<ds:datastoreItem xmlns:ds="http://schemas.openxmlformats.org/officeDocument/2006/customXml" ds:itemID="{0F2455FB-2E2D-4742-9E6D-E9D500D51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87dda-37f2-45bd-ad8c-4d12e0426bf3"/>
    <ds:schemaRef ds:uri="deeed4ca-fc60-403c-b0dc-ca75a8a1c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Imprint</vt:lpstr>
      <vt:lpstr>Table_of_contents</vt:lpstr>
      <vt:lpstr>References</vt:lpstr>
      <vt:lpstr>Terminology_data_country</vt:lpstr>
      <vt:lpstr>Data_country</vt:lpstr>
      <vt:lpstr>Terminology_data_SPC</vt:lpstr>
      <vt:lpstr>Data_SPC</vt:lpstr>
      <vt:lpstr>Reference_country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run.zhang</dc:creator>
  <cp:lastModifiedBy>Anja Werner</cp:lastModifiedBy>
  <cp:lastPrinted>2018-07-27T14:15:27Z</cp:lastPrinted>
  <dcterms:created xsi:type="dcterms:W3CDTF">2015-03-30T20:55:42Z</dcterms:created>
  <dcterms:modified xsi:type="dcterms:W3CDTF">2024-11-19T09:41:41Z</dcterms:modified>
</cp:coreProperties>
</file>